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325" windowWidth="15120" windowHeight="6930" firstSheet="1" activeTab="6"/>
  </bookViews>
  <sheets>
    <sheet name="Пр.1" sheetId="1" state="hidden" r:id="rId1"/>
    <sheet name="Пр.2" sheetId="2" r:id="rId2"/>
    <sheet name="Пр.3" sheetId="3" r:id="rId3"/>
    <sheet name="Пр.7" sheetId="4" r:id="rId4"/>
    <sheet name="Пр.8" sheetId="5" r:id="rId5"/>
    <sheet name="Пр. 9" sheetId="6" r:id="rId6"/>
    <sheet name="Пр.10" sheetId="7" r:id="rId7"/>
    <sheet name="Пр.11" sheetId="8" r:id="rId8"/>
    <sheet name="Пр.49" sheetId="9" r:id="rId9"/>
  </sheets>
  <definedNames>
    <definedName name="_xlnm._FilterDatabase" localSheetId="5" hidden="1">'Пр. 9'!$A$12:$M$1108</definedName>
    <definedName name="_xlnm.Print_Titles" localSheetId="5">'Пр. 9'!$11:$11</definedName>
    <definedName name="_xlnm.Print_Titles" localSheetId="7">'Пр.11'!$11:$12</definedName>
    <definedName name="_xlnm.Print_Titles" localSheetId="2">'Пр.3'!$11:$12</definedName>
    <definedName name="_xlnm.Print_Titles" localSheetId="4">'Пр.8'!$11:$11</definedName>
    <definedName name="_xlnm.Print_Area" localSheetId="6">'Пр.10'!$A$1:$O$81</definedName>
  </definedNames>
  <calcPr fullCalcOnLoad="1"/>
</workbook>
</file>

<file path=xl/sharedStrings.xml><?xml version="1.0" encoding="utf-8"?>
<sst xmlns="http://schemas.openxmlformats.org/spreadsheetml/2006/main" count="13422" uniqueCount="1164">
  <si>
    <t>УТВЕРЖДЕНО</t>
  </si>
  <si>
    <t>решением Совета депутатов</t>
  </si>
  <si>
    <t>Волховского муниципального района</t>
  </si>
  <si>
    <t>код бюджетной</t>
  </si>
  <si>
    <t>классификации</t>
  </si>
  <si>
    <t>1 13 01995 05 0000 130</t>
  </si>
  <si>
    <t>Прочие доходы от оказания платных услуг (работ) получателями  средств бюджетов муниципальных районов</t>
  </si>
  <si>
    <t>1 13 02995 05 0000 130</t>
  </si>
  <si>
    <t>Прочие доходы от компенсации затрат бюджетов муниципальных районов</t>
  </si>
  <si>
    <t>Прочие неналоговые доходы бюджетов муниципальных районов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</si>
  <si>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</si>
  <si>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</si>
  <si>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</si>
  <si>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 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</si>
  <si>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</si>
  <si>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</si>
  <si>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</si>
  <si>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государственную регистрацию актов гражданского состояния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</si>
  <si>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</si>
  <si>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2 02 45144 05 0000 151</t>
  </si>
  <si>
    <t>Прочие межбюджетные трансферты, передаваемые бюджетам муниципальных районов</t>
  </si>
  <si>
    <t>Сумма
(тысяч рублей)</t>
  </si>
  <si>
    <t>КЦСР</t>
  </si>
  <si>
    <t>110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</si>
  <si>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</si>
  <si>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111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</si>
  <si>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</si>
  <si>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</si>
  <si>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112</t>
  </si>
  <si>
    <t>114</t>
  </si>
  <si>
    <t>115</t>
  </si>
  <si>
    <t>119</t>
  </si>
  <si>
    <t>Контрольно-счетный орган Волховского муниципального района Ленинградской области</t>
  </si>
  <si>
    <t>120</t>
  </si>
  <si>
    <t>Наименование раздела и подраздела</t>
  </si>
  <si>
    <t>раздела</t>
  </si>
  <si>
    <t>подраздела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</si>
  <si>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</si>
  <si>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</si>
  <si>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</si>
  <si>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</si>
  <si>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</si>
  <si>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</si>
  <si>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</si>
  <si>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</si>
  <si>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</si>
  <si>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</si>
  <si>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</si>
  <si>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</si>
  <si>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</si>
  <si>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</si>
  <si>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</si>
  <si>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</si>
  <si>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</si>
  <si>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</si>
  <si>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</si>
  <si>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</si>
  <si>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</si>
  <si>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</si>
  <si>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</si>
  <si>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</si>
  <si>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</si>
  <si>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</si>
  <si>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</si>
  <si>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</si>
  <si>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</si>
  <si>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</si>
  <si>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</si>
  <si>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</si>
  <si>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 xml:space="preserve">Жилищно- коммунальное хозяйство 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</si>
  <si>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</si>
  <si>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</si>
  <si>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</si>
  <si>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</si>
  <si>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</si>
  <si>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</si>
  <si>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</si>
  <si>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</si>
  <si>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</si>
  <si>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</si>
  <si>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</si>
  <si>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</si>
  <si>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</si>
  <si>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 xml:space="preserve">Образование 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</si>
  <si>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</si>
  <si>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</si>
  <si>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</si>
  <si>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</si>
  <si>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</si>
  <si>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</si>
  <si>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</si>
  <si>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</si>
  <si>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</si>
  <si>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</si>
  <si>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</si>
  <si>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</si>
  <si>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</si>
  <si>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</si>
  <si>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</si>
  <si>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</si>
  <si>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</si>
  <si>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</si>
  <si>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</si>
  <si>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</si>
  <si>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</si>
  <si>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</si>
  <si>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</si>
  <si>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</si>
  <si>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</si>
  <si>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</si>
  <si>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</si>
  <si>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</si>
  <si>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</si>
  <si>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</si>
  <si>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</si>
  <si>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</si>
  <si>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</si>
  <si>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</si>
  <si>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</si>
  <si>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Обслуживание государственного и муниципального долга</t>
  </si>
  <si>
    <t>1300</t>
  </si>
  <si>
    <t>Обслуживание внутреннего государственного  и муниципального долга</t>
  </si>
  <si>
    <t>1301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</si>
  <si>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</si>
  <si>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</si>
  <si>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</si>
  <si>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</si>
  <si>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</si>
  <si>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</si>
  <si>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Комитет финансов Волховского муниципального района Ленинградской области</t>
  </si>
  <si>
    <t>Наименование</t>
  </si>
  <si>
    <t>1</t>
  </si>
  <si>
    <t>2</t>
  </si>
  <si>
    <t>Администрация Волховского муниципального района Ленинградской области</t>
  </si>
  <si>
    <t>3</t>
  </si>
  <si>
    <t>4</t>
  </si>
  <si>
    <t>Комитет по управлению муниципальным имуществом Волховского муниципального района Ленинградской области</t>
  </si>
  <si>
    <t>5</t>
  </si>
  <si>
    <t xml:space="preserve">Подпрограмма "Развитие дошкольного образования детей Волховского муниципального района" </t>
  </si>
  <si>
    <t xml:space="preserve">Подпрограмма "Развитие дополнительного образования в Волховском муниципальном районе" </t>
  </si>
  <si>
    <t>Муниципальная программа Волховского муниципального района "Безопасность Волховского муниципального района"</t>
  </si>
  <si>
    <t xml:space="preserve">Иные межбюджетные трансферты на подготовку и выполнение  противопаводковых мероприятий </t>
  </si>
  <si>
    <t xml:space="preserve">Иные межбюджетные трансферты на подготовку и выполнение тушения лесных и торфяных пожаров </t>
  </si>
  <si>
    <t>Иные межбюджетные трансферты на  софинансирование строительства и капитального ремонта спортивных площадок</t>
  </si>
  <si>
    <t xml:space="preserve">КЦСР </t>
  </si>
  <si>
    <t>КВР</t>
  </si>
  <si>
    <t>КФСР</t>
  </si>
  <si>
    <t>01</t>
  </si>
  <si>
    <t>0</t>
  </si>
  <si>
    <t>00</t>
  </si>
  <si>
    <t>00000</t>
  </si>
  <si>
    <t xml:space="preserve">Подпрограмма "Энергосбережение и повышение энергетической эффективности на территории Волховского муниципального района" </t>
  </si>
  <si>
    <t>60010</t>
  </si>
  <si>
    <t xml:space="preserve">Иные межбюджетные трансферты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</si>
  <si>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</si>
  <si>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S4270</t>
  </si>
  <si>
    <t>60200</t>
  </si>
  <si>
    <t>На проектирование, строительство и реконструкцию объектов</t>
  </si>
  <si>
    <t>S0660</t>
  </si>
  <si>
    <t>Муниципальная программа Волховского муниципального района  "Обеспечение качественным жильем граждан на территории Волховского муниципального района"</t>
  </si>
  <si>
    <t>02</t>
  </si>
  <si>
    <t>51340</t>
  </si>
  <si>
    <t>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
Российской Федерации от 7 мая 2008 года №714 "Об обеспечении жильем ветеранов Великой Отечественной войны 1941-1945 годов"</t>
  </si>
  <si>
    <t>R1340</t>
  </si>
  <si>
    <t>51350</t>
  </si>
  <si>
    <t>R1350</t>
  </si>
  <si>
    <t>Сфера жилищных отношений</t>
  </si>
  <si>
    <t>71420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</si>
  <si>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</si>
  <si>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 xml:space="preserve">Предоставление гражданам единовременной денежной выплаты на проведение капитального ремонта индивидуальных жилых домов </t>
  </si>
  <si>
    <t>71640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</si>
  <si>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</si>
  <si>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R0820</t>
  </si>
  <si>
    <t>Муниципальная программа Волховского муниципального района "Управление муниципальными финансами и муниципальным долгом Волховского муниципального района"</t>
  </si>
  <si>
    <t>03</t>
  </si>
  <si>
    <t>Подпрограмма "Создание условий для эффективного управления муниципальными финансами, повышение устойчивости бюджетов муниципальных образований  Волховского муниципального района"</t>
  </si>
  <si>
    <t>Основное мероприятие "Выравнивание бюджетной обеспеченности муниципальных образований  городских и сельских поселений Волховского муниципального района"</t>
  </si>
  <si>
    <t>Дотация на выравнивание бюджетной обеспеченности за счет средств районного фонда финансовой поддержки поселений</t>
  </si>
  <si>
    <t>60130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</si>
  <si>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</si>
  <si>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71010</t>
  </si>
  <si>
    <t>Подпрограмма "Управление муниципальным долгом Волховского муниципального района Ленинградской области"</t>
  </si>
  <si>
    <t>Основное мероприятие "Повышение эффективности управления муниципальным долгом Волховского муниципального района"</t>
  </si>
  <si>
    <t>Процентные платежи по муниципальному долгу</t>
  </si>
  <si>
    <t>10730</t>
  </si>
  <si>
    <t>Обслуживание внутреннего государственного и муниципального долга</t>
  </si>
  <si>
    <t>Муниципальная программа Волховского муниципального района "Развитие культуры в Волховском муниципальном районе"</t>
  </si>
  <si>
    <t>04</t>
  </si>
  <si>
    <t>Подпрограмма "Обеспечение доступа жителей Волховского муниципального  района к культурным ценностям"</t>
  </si>
  <si>
    <t>Обеспечение деятельности муниципальных казенных учреждений</t>
  </si>
  <si>
    <t>00160</t>
  </si>
  <si>
    <t>На обеспечение выплат стимулирующего характера работникам муниципальных учреждений культуры Ленинградской области</t>
  </si>
  <si>
    <t xml:space="preserve">Подпрограмма "Сохранение и развитие народной культуры и самодеятельного творчества в Волховском муниципальном районе" </t>
  </si>
  <si>
    <t xml:space="preserve">Предоставление субсидий муниципальным бюджетным учреждениям </t>
  </si>
  <si>
    <t>00170</t>
  </si>
  <si>
    <t>Выявление и поддержка молодых дарований</t>
  </si>
  <si>
    <t>10020</t>
  </si>
  <si>
    <t>10010</t>
  </si>
  <si>
    <t xml:space="preserve">Иные межбюджетные трансферты на организацию и проведение мероприятий в сфере культуры  </t>
  </si>
  <si>
    <t>60140</t>
  </si>
  <si>
    <t xml:space="preserve">Подпрограмма "Обеспечение условий реализации муниципальной программы "Развитие культуры в Волховском муниципальном районе" </t>
  </si>
  <si>
    <t>Осуществление мероприятий по проведению ремонтных работ</t>
  </si>
  <si>
    <t>04010</t>
  </si>
  <si>
    <t xml:space="preserve">Комплектование книжных фондов библиотек Волховского муниципального района </t>
  </si>
  <si>
    <t>10030</t>
  </si>
  <si>
    <t>Муниципальная программа Волховского муниципального района "Развитие физической культуры и спорта в Волховском муниципальном районе"</t>
  </si>
  <si>
    <t>05</t>
  </si>
  <si>
    <t xml:space="preserve">Подпрограмма "Развитие физической культуры и массового спорта в  Волховском муниципальном районе" </t>
  </si>
  <si>
    <t xml:space="preserve">Обеспечение подготовки и участие сборных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 </t>
  </si>
  <si>
    <t>10770</t>
  </si>
  <si>
    <t xml:space="preserve">Организация и проведение районных мероприятий и спортивных соревнований по различным  видам спорта среди различных групп населения </t>
  </si>
  <si>
    <t>10760</t>
  </si>
  <si>
    <t xml:space="preserve">Приобретение наградной и спортивной атрибутики, типографской и сувенирной продукции </t>
  </si>
  <si>
    <t>10780</t>
  </si>
  <si>
    <t>Реализация мероприятий по внедрению Всероссийского физкультурно-спортивного комплекса "Готов к труду и обороне" (ГТО)</t>
  </si>
  <si>
    <t>60220</t>
  </si>
  <si>
    <t xml:space="preserve">Подпрограмма "Развитие спорта высших достижений и системы подготовки спортивного резерва в Волховском муниципальном районе"  </t>
  </si>
  <si>
    <t xml:space="preserve"> Расходы на  приобретение спортивного инвентаря и оборудования для  учреждений</t>
  </si>
  <si>
    <t>10050</t>
  </si>
  <si>
    <t xml:space="preserve"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  </t>
  </si>
  <si>
    <t>10710</t>
  </si>
  <si>
    <t xml:space="preserve">Подпрограмма "Развитие объектов физической культуры и спорта в Волховском муниципальном районе"  </t>
  </si>
  <si>
    <t>Муниципальная программа Волховского муниципального района "Современное образование в Волховском муниципальном районе"</t>
  </si>
  <si>
    <t>06</t>
  </si>
  <si>
    <t>Основное мероприятие "Реализация образовательных программ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</si>
  <si>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</si>
  <si>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71350</t>
  </si>
  <si>
    <t/>
  </si>
  <si>
    <t>Организация разнообразных форм предоставления дошкольного и предшкольного образования</t>
  </si>
  <si>
    <t>70450</t>
  </si>
  <si>
    <t>Основное мероприятие "Выплата компенсаций части родительской платы  за содержание ребенка в дошкольном учреждении"</t>
  </si>
  <si>
    <t>Укрепление материально-технической базы организаций дошкольного образования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</si>
  <si>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</si>
  <si>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71360</t>
  </si>
  <si>
    <t>Основное мероприятие "Развитие инфраструктуры дошкольного образования"</t>
  </si>
  <si>
    <t xml:space="preserve">Осуществление мероприятий по проведению ремонтных работ </t>
  </si>
  <si>
    <t xml:space="preserve">Укрепление материально-технической базы учреждений дошкольного образования </t>
  </si>
  <si>
    <t>10060</t>
  </si>
  <si>
    <t>10790</t>
  </si>
  <si>
    <t xml:space="preserve">Подпрограмма "Развитие начального общего, основного общего и среднего общего образования детей в Волховском муниципальном районе" </t>
  </si>
  <si>
    <t>Основное мероприятие "Реализация образовательных программ общего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</si>
  <si>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</si>
  <si>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71530</t>
  </si>
  <si>
    <t>Основное мероприятие "Содействие развитию общего образования"</t>
  </si>
  <si>
    <t xml:space="preserve">Обновление содержания общего образования, создание современной образовательной среды и развитие сети </t>
  </si>
  <si>
    <t>10070</t>
  </si>
  <si>
    <t xml:space="preserve">Развитие воспитательного потенциала системы общего образования </t>
  </si>
  <si>
    <t>10090</t>
  </si>
  <si>
    <t>Укрепление материально-технической базы организаций общего образования</t>
  </si>
  <si>
    <t>70510</t>
  </si>
  <si>
    <t>6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</si>
  <si>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</si>
  <si>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71440</t>
  </si>
  <si>
    <t>Основное мероприятие "Развитие инфраструктуры общего образования"</t>
  </si>
  <si>
    <t xml:space="preserve">Укрепление материально-технической базы общеобразовательных учреждений </t>
  </si>
  <si>
    <t>10080</t>
  </si>
  <si>
    <t>На создание в общеобразовательных организациях, расположенных в сельской местности, условий для занятий физической культурой и спортом</t>
  </si>
  <si>
    <t>На реновацию организаций общего образования</t>
  </si>
  <si>
    <t>S4300</t>
  </si>
  <si>
    <t>Основное мероприятие "Реализация программ дополнительного образования детей"</t>
  </si>
  <si>
    <t xml:space="preserve">Развитие системы дополнительного образования </t>
  </si>
  <si>
    <t>10100</t>
  </si>
  <si>
    <t>Укрепление материально-технической базы организаций дополнительного образования</t>
  </si>
  <si>
    <t>70570</t>
  </si>
  <si>
    <t xml:space="preserve">Укрепление материально-технической базы учреждений дополнительного образования </t>
  </si>
  <si>
    <t>10110</t>
  </si>
  <si>
    <t xml:space="preserve">Подпрограмма "Развитие кадрового потенциала социальной сферы Волховского муниципального района" </t>
  </si>
  <si>
    <t>Основное мероприятие "Развитие кадрового потенциала системы дошкольного, общего и дополнительного образования"</t>
  </si>
  <si>
    <t>10120</t>
  </si>
  <si>
    <t>Развитие кадрового потенциала системы дошкольного, общего и дополнительного образования</t>
  </si>
  <si>
    <t xml:space="preserve">Подпрограмма "Развитие системы отдыха, оздоровления, занятости детей, подростков и молодежи Волховского муниципального района" </t>
  </si>
  <si>
    <t>Основное мероприятие "Обеспечение отдыха, оздоровления, занятости детей, подростков и молодежи"</t>
  </si>
  <si>
    <t xml:space="preserve">Организация работы оздоровительных лагерей с дневным (круглосуточным) пребыванием на базе образовательных учреждений </t>
  </si>
  <si>
    <t>10130</t>
  </si>
  <si>
    <t xml:space="preserve">Развитие разнообразных форм отдыха и занятости детей и подростков </t>
  </si>
  <si>
    <t>10140</t>
  </si>
  <si>
    <t xml:space="preserve">Организация занятости подростков и молодежи в каникулярное время </t>
  </si>
  <si>
    <t>10150</t>
  </si>
  <si>
    <t>Организация отдыха и оздоровления детей и подростков</t>
  </si>
  <si>
    <t xml:space="preserve">Подпрограмма "Развитие системы оценки качества образования и информационной прозрачности системы образования Волховского муниципального района" </t>
  </si>
  <si>
    <t>7</t>
  </si>
  <si>
    <t>Основное мероприятие "Проведение мониторинга качества образовательного результата"</t>
  </si>
  <si>
    <t>Проведение мониторинга качества образовательного результата</t>
  </si>
  <si>
    <t>10160</t>
  </si>
  <si>
    <t>07</t>
  </si>
  <si>
    <t>Основное мероприятие "Поддержка экологического воспитания, образования и просвещения школьников и информирование населения"</t>
  </si>
  <si>
    <t>10170</t>
  </si>
  <si>
    <t>Муниципальная программа Волховского муниципального района "Развитие сельского хозяйства  Волховского муниципального  района"</t>
  </si>
  <si>
    <t>08</t>
  </si>
  <si>
    <t xml:space="preserve">Поддержка стабилизации и развития отраслей растениеводства </t>
  </si>
  <si>
    <t>06010</t>
  </si>
  <si>
    <t>06020</t>
  </si>
  <si>
    <t xml:space="preserve">Основное мероприятие "Обеспечение реализации муниципальной программы Волховского муниципального района "Развитие сельского хозяйства Волховского муниципального района"
</t>
  </si>
  <si>
    <t>10190</t>
  </si>
  <si>
    <t>Поддержка сельскохозяйственного производства</t>
  </si>
  <si>
    <t>71030</t>
  </si>
  <si>
    <t xml:space="preserve">Подпрограмма "Поддержка малых форм хозяйствования Волховского муниципального района" </t>
  </si>
  <si>
    <t>Поддержка развития крестьянских (фермерских) хозяйств, личных подсобных хозяйств населения</t>
  </si>
  <si>
    <t>06030</t>
  </si>
  <si>
    <t>06040</t>
  </si>
  <si>
    <t>09</t>
  </si>
  <si>
    <t xml:space="preserve">Доплата к пенсиям муниципальных служащих </t>
  </si>
  <si>
    <t>03020</t>
  </si>
  <si>
    <t>Организация выплаты вознаграждения, причитающегося приемным родителям</t>
  </si>
  <si>
    <t>Подготовка граждан, желающих принять на воспитание в свою семью ребенка, оставшегося без попечения родителей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</si>
  <si>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РФ и ЛО</t>
  </si>
  <si>
    <t>72090</t>
  </si>
  <si>
    <t>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</si>
  <si>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72100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</si>
  <si>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</si>
  <si>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72110</t>
  </si>
  <si>
    <t>На обеспечение мер социальной поддержки учащихся общеобразовательных организаций из многодетных(приемных) семей, в части предоставления бесплатного проезда на внутригородском транспорте</t>
  </si>
  <si>
    <t>72150</t>
  </si>
  <si>
    <t xml:space="preserve">Субсидии на возмещение затрат автотранспортным организациям, осуществляющим на территории Волховского муниципального района пассажирские перевозки, отдельных категорий граждан по единым социальным проездным билетам  </t>
  </si>
  <si>
    <t>06050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</si>
  <si>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</si>
  <si>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</si>
  <si>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</si>
  <si>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71460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</si>
  <si>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</si>
  <si>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71470</t>
  </si>
  <si>
    <t>71480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</si>
  <si>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</si>
  <si>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71490</t>
  </si>
  <si>
    <t>71500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</si>
  <si>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</si>
  <si>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71720</t>
  </si>
  <si>
    <t>Организация и осуществление деятельности по опеке и попечительству</t>
  </si>
  <si>
    <t>71380</t>
  </si>
  <si>
    <t>9</t>
  </si>
  <si>
    <t>S0930</t>
  </si>
  <si>
    <t>Муниципальная программа Волховского муниципального района "Стимулирование экономической активности в Волховском муниципальном районе"</t>
  </si>
  <si>
    <t>10</t>
  </si>
  <si>
    <t xml:space="preserve">Поощрение муниципальных учреждений образования Волховского муниципального района по итогам проведения смотров-конкурсов состояния условий и охраны труда </t>
  </si>
  <si>
    <t>10800</t>
  </si>
  <si>
    <t>06070</t>
  </si>
  <si>
    <t>10300</t>
  </si>
  <si>
    <t>Реализация программ, проектов, направленных на развитие международных, внешнеэкономических и межрегиональных связей</t>
  </si>
  <si>
    <t>10320</t>
  </si>
  <si>
    <t>Публикация информационных материалов о туристическом потенциале района</t>
  </si>
  <si>
    <t>10340</t>
  </si>
  <si>
    <t>11</t>
  </si>
  <si>
    <t>10370</t>
  </si>
  <si>
    <t xml:space="preserve">Обеспечение проведения диспансеризации лиц в соответствии с приказом Минздравсоцразвития РФ от 14.12.2009 года № 984н </t>
  </si>
  <si>
    <t>10380</t>
  </si>
  <si>
    <t>12</t>
  </si>
  <si>
    <t xml:space="preserve">Подпрограмма "Обеспечение правопорядка и профилактика правонарушений в Волховском муниципальном районе" </t>
  </si>
  <si>
    <t>Основное мероприятие "Реализация мероприятий по  обеспечению правопорядка и профилактики правонарушений"</t>
  </si>
  <si>
    <t>Сфера профилактики безнадзорности и правонарушений несовершеннолетних</t>
  </si>
  <si>
    <t>71330</t>
  </si>
  <si>
    <t xml:space="preserve">Сфера административных правоотношений </t>
  </si>
  <si>
    <t>71340</t>
  </si>
  <si>
    <t>Основное мероприятие "Проведение мероприятий по мобилизационной подготовке"</t>
  </si>
  <si>
    <t xml:space="preserve">Проведение учебных мероприятий по мобилизационной подготовке </t>
  </si>
  <si>
    <t>10390</t>
  </si>
  <si>
    <t>Защита населения и территорий от чрезвычайной ситуации природного и техногенного характера, гражданская оборона</t>
  </si>
  <si>
    <t xml:space="preserve">Оплата услуг за доставку и отправку документов через структуры специальной связи </t>
  </si>
  <si>
    <t>10420</t>
  </si>
  <si>
    <t>Основное мероприятие "Проведение мероприятий по гражданской обороне"</t>
  </si>
  <si>
    <t>10410</t>
  </si>
  <si>
    <t>Основное мероприятие  "Предупреждение и ликвидация чрезвычайных ситуаций"</t>
  </si>
  <si>
    <t xml:space="preserve">Расходы на вывоз и уничтожение  взрывоопасных предметов времён Великой отечественной войны </t>
  </si>
  <si>
    <t>10400</t>
  </si>
  <si>
    <t>10430</t>
  </si>
  <si>
    <t xml:space="preserve">Обеспечение безопасности людей на водных объектах </t>
  </si>
  <si>
    <t>10440</t>
  </si>
  <si>
    <t>Иные межбюджетные трансферты на подготовку и выполнение  противопаводковых мероприятий</t>
  </si>
  <si>
    <t>60100</t>
  </si>
  <si>
    <t>Основное мероприятие "Обеспечение пожарной безопасности"</t>
  </si>
  <si>
    <t>60110</t>
  </si>
  <si>
    <t xml:space="preserve">Организация профильного лагеря по безопасности дорожного движения </t>
  </si>
  <si>
    <t>10470</t>
  </si>
  <si>
    <t>Проектирование, строительство и реконструкция объектов</t>
  </si>
  <si>
    <t>04020</t>
  </si>
  <si>
    <t>Паспортизация дорог общего пользования</t>
  </si>
  <si>
    <t>10850</t>
  </si>
  <si>
    <t>Муниципальная программа Волховского муниципального района "Устойчивое общественное развитие в Волховском муниципальном районе"</t>
  </si>
  <si>
    <t>Обеспечение деятельности информационно-консультационных центров для потребителей</t>
  </si>
  <si>
    <t>Подпрограмма "Общество и власть"</t>
  </si>
  <si>
    <t>Основное мероприятие "Повышение информационной открытости органов местного самоуправления Волховского муниципального района"</t>
  </si>
  <si>
    <t xml:space="preserve">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района </t>
  </si>
  <si>
    <t>10500</t>
  </si>
  <si>
    <t xml:space="preserve">Проведение пресс-мероприятий для журналистов средств массовой информации (круглых столов, пресс-конференций, семинаров, встреч) </t>
  </si>
  <si>
    <t>10510</t>
  </si>
  <si>
    <t>10530</t>
  </si>
  <si>
    <t xml:space="preserve">Организация выпуска и распространения информационной и имиджевой продукции о Волховском районе </t>
  </si>
  <si>
    <t>10540</t>
  </si>
  <si>
    <t>Основное мероприятие "Поддержка молодых семей и пропаганда семейных ценностей"</t>
  </si>
  <si>
    <t>На реализацию комплекса мер по сохранению исторической памяти</t>
  </si>
  <si>
    <t>S4340</t>
  </si>
  <si>
    <t>Подпрограмма "Профилактика асоциального поведения в молодежной среде Волховского муниципального района"</t>
  </si>
  <si>
    <t>На реализацию комплекса мер по профилактике правонарушений и рискованного поведения в молодежной среде</t>
  </si>
  <si>
    <t>S4350</t>
  </si>
  <si>
    <t xml:space="preserve">Подпрограмма "Поддержка социально ориентированных некоммерческих организаций Волховского муниципального района" </t>
  </si>
  <si>
    <t>06100</t>
  </si>
  <si>
    <t>72060</t>
  </si>
  <si>
    <t>Обеспечение деятельности органов местного самоуправления Волховского муниципального района</t>
  </si>
  <si>
    <t>67</t>
  </si>
  <si>
    <t>Обеспечение деятельности главы муниципального образования</t>
  </si>
  <si>
    <t>Непрограммные расходы</t>
  </si>
  <si>
    <t>Исполнение функций органов местного самоуправления</t>
  </si>
  <si>
    <t>00150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</si>
  <si>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</si>
  <si>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</si>
  <si>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центрального аппарата</t>
  </si>
  <si>
    <t xml:space="preserve">Осуществление полномочий по исполнению и финансовому контролю за исполнением бюджетов сельских поселений </t>
  </si>
  <si>
    <t>40010</t>
  </si>
  <si>
    <t xml:space="preserve">Осуществление полномочий сельских поселений по вопросам градостроительной деятельности </t>
  </si>
  <si>
    <t>40020</t>
  </si>
  <si>
    <t>Осуществление полномочий городских и сельских поселений в части внешнего муниципального финансового контроля Контрольно-счетным органом Волховского муниципального района</t>
  </si>
  <si>
    <t>40040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</si>
  <si>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</si>
  <si>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59300</t>
  </si>
  <si>
    <t>Область архивного дела</t>
  </si>
  <si>
    <t>71510</t>
  </si>
  <si>
    <t>Сфера обращения с безнадзорными животными на территории Ленинградской области</t>
  </si>
  <si>
    <t>71590</t>
  </si>
  <si>
    <t>Осуществление полномочий по распоряжению земельными участками, государственная собственность на которые не разграничена</t>
  </si>
  <si>
    <t>71730</t>
  </si>
  <si>
    <t xml:space="preserve">На осуществление полномочий Совета депутатов МО город Волхов, в соответствии с заключенным соглашением </t>
  </si>
  <si>
    <t>80050</t>
  </si>
  <si>
    <t xml:space="preserve">На осуществление полномочий в части внешнего муниципального финансового контроля МО город Волхов,  в соответствии с заключенным соглашением </t>
  </si>
  <si>
    <t>80070</t>
  </si>
  <si>
    <t>Обеспечение деятельности руководителя контрольно-счетной палаты муниципального образования и его заместителей</t>
  </si>
  <si>
    <t xml:space="preserve">Непрограммные расходы органов местного самоуправления </t>
  </si>
  <si>
    <t>68</t>
  </si>
  <si>
    <t xml:space="preserve">68 </t>
  </si>
  <si>
    <t>Субсидии хозяйствующим субъектам, осуществляющим деятельность в сфере регулярных пассажирских перевозок на территории Волховского муниципального района на обновление транспортных средств</t>
  </si>
  <si>
    <t>06120</t>
  </si>
  <si>
    <t xml:space="preserve">Резервный фонд администрации Волховского муниципального района </t>
  </si>
  <si>
    <t>10660</t>
  </si>
  <si>
    <t>Резервные фонды местных администраций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</si>
  <si>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</si>
  <si>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10670</t>
  </si>
  <si>
    <t xml:space="preserve">Содержание имущества казны </t>
  </si>
  <si>
    <t>10680</t>
  </si>
  <si>
    <t xml:space="preserve">Ежегодный членский взнос в совет муниципальных образований </t>
  </si>
  <si>
    <t>10690</t>
  </si>
  <si>
    <t xml:space="preserve">Прочие общегосударственные расходы  </t>
  </si>
  <si>
    <t>10700</t>
  </si>
  <si>
    <t>На разработку проекта по рекультивации(восстановлению) нарушенных земель, занятых свалкой твердых бытовых отходов в рамках непрограммных расходов органов местного самоуправления</t>
  </si>
  <si>
    <t>10840</t>
  </si>
  <si>
    <t xml:space="preserve">Награждение Почетным дипломом и Почетной грамотой Совета депутатов Волховского муниципального района </t>
  </si>
  <si>
    <t>10890</t>
  </si>
  <si>
    <t>На приобретение металлодетекторов и мобильных барьеров</t>
  </si>
  <si>
    <t>10910</t>
  </si>
  <si>
    <t>Исполнение судебных актов, вступивших в законную силу</t>
  </si>
  <si>
    <t>10920</t>
  </si>
  <si>
    <t>На проекты планировки территории и проекты межевания территории сельских поселений</t>
  </si>
  <si>
    <t>10930</t>
  </si>
  <si>
    <t>На приобретение знаков отличия "За вклад в развитие Волховского муниципального района" и нагрудных знаков "Почетный гражданин Волховского муниципального района"</t>
  </si>
  <si>
    <t>10950</t>
  </si>
  <si>
    <t>Приобретение бланков "Карта маршрута перевозок"</t>
  </si>
  <si>
    <t>10980</t>
  </si>
  <si>
    <t>10990</t>
  </si>
  <si>
    <t>Проведение мероприятий по землеустройству и землепользованию</t>
  </si>
  <si>
    <t>11000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</si>
  <si>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</si>
  <si>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</si>
  <si>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Иные межбюджетные трансферты бюджетам поселений из бюджета Волховского муниципального района на оказание дополнительной финансовой помощи</t>
  </si>
  <si>
    <t>60190</t>
  </si>
  <si>
    <t xml:space="preserve">Иные межбюджетные трансферты бюджетам муниципальных образований Волховского муниципального района Ленинградской области на софинансирование расходных обязательств поселений при осуществлении  ими полномочий в рамках Краткосрочного плана реализации Региональной программы капитального ремонта общего имущества в многоквартирных домах, расположенных на территории Ленинградской области, на 2014-2043 годы с учетом мер государственной поддержки </t>
  </si>
  <si>
    <t>60210</t>
  </si>
  <si>
    <t>Другие вопросы в области  жилищно-коммунального хозяйства</t>
  </si>
  <si>
    <t>На подготовку и проведение мероприятий, посвященных Дню образования Ленинградской области</t>
  </si>
  <si>
    <t>72030</t>
  </si>
  <si>
    <t xml:space="preserve">Подпрограмма "Обеспечение  реализации   муниципальной   программы Волховского муниципального района   "Развитие   сельского   хозяйства Волховского муниципального района" </t>
  </si>
  <si>
    <t>На осуществление полномочий в части внешнего муниципального финансового контроля МО город Волхов,  в соответствии с заключенным соглашением</t>
  </si>
  <si>
    <t xml:space="preserve">Поддержка развития садоводческих, огороднических и дачных некоммерческих объединений </t>
  </si>
  <si>
    <t>Образование</t>
  </si>
  <si>
    <t>Подпрограмма "Развитие дошкольного образования детей Волховского муниципального района"</t>
  </si>
  <si>
    <t>Подпрограмма "Развитие начального общего, основного общего и среднего общего образования детей в Волховском муниципальном районе"</t>
  </si>
  <si>
    <t>Подпрограмма "Развитие дополнительного образования в Волховском муниципальном районе"</t>
  </si>
  <si>
    <t>Подпрограмма "Развитие кадрового потенциала социальной сферы Волховского муниципального района"</t>
  </si>
  <si>
    <t xml:space="preserve">Подпрограмма "Обеспечение доступа жителей Волховского муниципального  района к культурным ценностям" </t>
  </si>
  <si>
    <t>71450</t>
  </si>
  <si>
    <t xml:space="preserve"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 </t>
  </si>
  <si>
    <t>71430</t>
  </si>
  <si>
    <t>Подпрограмма "Поддержка социально ориентированных некоммерческих организаций Волховского муниципального района"</t>
  </si>
  <si>
    <t xml:space="preserve"> Расходы на  приобретение спортивного инвентаря и оборудования для  учреждений </t>
  </si>
  <si>
    <t xml:space="preserve"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 </t>
  </si>
  <si>
    <t>Гл.адм.</t>
  </si>
  <si>
    <t>Принятие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</si>
  <si>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Обеспечение деятельности аппаратов органов местного самоуправления</t>
  </si>
  <si>
    <t xml:space="preserve">Прочие общегосударственные расходы   </t>
  </si>
  <si>
    <t xml:space="preserve">Жилищно-коммунальное хозяйство </t>
  </si>
  <si>
    <t>Предоставление муниципальным бюджетным учреждениям субсидий на выполнение муниципального задания</t>
  </si>
  <si>
    <t>На поддержку деятельности молодежных общественных организаций, объединений, инициатив и развитие добровольческого(волонтерского) движения, содействию трудовой адаптации и занятости молодежи</t>
  </si>
  <si>
    <t xml:space="preserve">Обеспечение подготовки и участие 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 </t>
  </si>
  <si>
    <t>Жилищно-коммунальное хозяйство</t>
  </si>
  <si>
    <t>Межбюджетные трансферты бюджетам субъектов Российской Федерации и муниципальных образований общего характера</t>
  </si>
  <si>
    <t xml:space="preserve">Содержание имущества казны  </t>
  </si>
  <si>
    <t>На осуществление полномочий Совета депутатов МО город Волхов, в соответствии с заключенным соглашением</t>
  </si>
  <si>
    <t xml:space="preserve">Подпрограмма "Общество и власть" </t>
  </si>
  <si>
    <t>Муниципальное казенное учреждение "Центр образования Волховского района" администрации Волховского муниципального района Ленинградской области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</si>
  <si>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 </t>
  </si>
  <si>
    <t>Развитие разнообразных форм отдыха и занятости детей и подростков</t>
  </si>
  <si>
    <t>Организация занятости подростков и молодежи в каникулярное время</t>
  </si>
  <si>
    <t>На организацию отдыха и оздоровления детей и подростков</t>
  </si>
  <si>
    <t xml:space="preserve">Подпрограмма "Развитие спорта высших достижений и системы подготовки спортивного резерва в Волховском муниципальном районе" </t>
  </si>
  <si>
    <t>11010</t>
  </si>
  <si>
    <t>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</si>
  <si>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S4290</t>
  </si>
  <si>
    <t>На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продукции, в том числе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</si>
  <si>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подготовку проекта внесения изменений в генеральный план сельских поселений</t>
  </si>
  <si>
    <t>10940</t>
  </si>
  <si>
    <t>60240</t>
  </si>
  <si>
    <t>60250</t>
  </si>
  <si>
    <t xml:space="preserve">Иные межбюджетные трансферты на поддержку деятельности молодежных организаций и объединений, молодежных инициатив и развитие волонтерского движения </t>
  </si>
  <si>
    <t>60260</t>
  </si>
  <si>
    <t>60270</t>
  </si>
  <si>
    <t>60280</t>
  </si>
  <si>
    <t>Иные межбюджетные трансферты на мероприятия по профилактике асоциального поведения в молодежной среде</t>
  </si>
  <si>
    <t>60290</t>
  </si>
  <si>
    <t>Иные межбюджетные трансферты на мероприятия по сохранению исторической памяти, гражданско-патриотическое и духовно-нравственное воспитание молодежи</t>
  </si>
  <si>
    <t>11020</t>
  </si>
  <si>
    <t>11030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</si>
  <si>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</si>
  <si>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На оплату вознаграждения агенту за изготовление платежных извещений</t>
  </si>
  <si>
    <t>S4490</t>
  </si>
  <si>
    <t>S4260</t>
  </si>
  <si>
    <t>На мероприятия по формированию доступной среды жизнедеятельности для инвалидов в Ленинградской области</t>
  </si>
  <si>
    <t>11040</t>
  </si>
  <si>
    <t>Подготовка и внесение информации о границах населенных пунктов в сведения государственного кадастра недвижимости</t>
  </si>
  <si>
    <t>S0160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</si>
  <si>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</si>
  <si>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60300</t>
  </si>
  <si>
    <t>ИСТОЧНИК ДОХОДОВ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</si>
  <si>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</si>
  <si>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</si>
  <si>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</si>
  <si>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</si>
  <si>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</si>
  <si>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</si>
  <si>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</si>
  <si>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</si>
  <si>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</si>
  <si>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</si>
  <si>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</si>
  <si>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</si>
  <si>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</si>
  <si>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</si>
  <si>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</si>
  <si>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</si>
  <si>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</si>
  <si>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</si>
  <si>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</si>
  <si>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</si>
  <si>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 xml:space="preserve"> 1 08 00000 00 0000 000</t>
  </si>
  <si>
    <t>ГОСУДАРСТВЕННАЯ ПОШЛИНА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</si>
  <si>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</si>
  <si>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</si>
  <si>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</si>
  <si>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</si>
  <si>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</si>
  <si>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</si>
  <si>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1 12 00000 00 0000 000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</si>
  <si>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</si>
  <si>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</si>
  <si>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</si>
  <si>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</si>
  <si>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</si>
  <si>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</si>
  <si>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>ДОХОДЫ ОТ ПРОДАЖИ МАТЕРИАЛЬНЫХ И НЕМАТЕРИАЛЬНЫХ АКТИВОВ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</si>
  <si>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</si>
  <si>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</si>
  <si>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</si>
  <si>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1 15 00000 00 0000 000</t>
  </si>
  <si>
    <t>АДМИНИСТРАТИВНЫЕ ПЛАТЕЖИ И СБОРЫ</t>
  </si>
  <si>
    <t xml:space="preserve"> 1 15 02050 05 0000 140</t>
  </si>
  <si>
    <t>Платежи, взимаемые органами управления (организациями) муниципальных районов за выполнение определенных функций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</si>
  <si>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</si>
  <si>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</si>
  <si>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</si>
  <si>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</si>
  <si>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</si>
  <si>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</si>
  <si>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1 17 05050 05 0000 180</t>
  </si>
  <si>
    <t>2 00 00 000 00 0000 000</t>
  </si>
  <si>
    <t>БЕЗВОЗМЕЗДНЫЕ ПОСТУПЛЕНИЯ</t>
  </si>
  <si>
    <t xml:space="preserve">ВСЕГО ДОХОДОВ </t>
  </si>
  <si>
    <t>код бюджетной классификации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</si>
  <si>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</si>
  <si>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</si>
  <si>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</si>
  <si>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</si>
  <si>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 организацию отдыха и оздоровления детей и подростков</t>
  </si>
  <si>
    <t>на 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</si>
  <si>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>на организацию разнообразных форм предоставления дошкольного и предшкольного образования</t>
  </si>
  <si>
    <t>на обеспечение деятельности информационно-консультационных центров для потребителей</t>
  </si>
  <si>
    <t>на укрепление материально-технической базы организаций дошкольного образования</t>
  </si>
  <si>
    <t>на укрепление материально-технической базы организаций дополнительного образования</t>
  </si>
  <si>
    <t xml:space="preserve">на укрепление материально-технической базы организаций общего образования </t>
  </si>
  <si>
    <t>на развитие кадрового потенциала системы дошкольного, общего и дополнительного образования</t>
  </si>
  <si>
    <t>на реализацию комплекса мер по сохранению исторической памяти</t>
  </si>
  <si>
    <t>на реализацию комплекса мер по профилактике правонарушений и рискованного поведения в молодежной среде</t>
  </si>
  <si>
    <t>на поддержку деятельности молодежных общественных организаций, объединений, инициатив и развитию добровольческого (волонтерского)движения, содействию трудовой адаптации и занятости молодежи</t>
  </si>
  <si>
    <t>на развитие и поддержку информационных технологий, обеспечивающих бюджетный процесс</t>
  </si>
  <si>
    <t>на реновацию организаций общего образования</t>
  </si>
  <si>
    <t>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</si>
  <si>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на обеспечение выплат стимулирующего характера работникам муниципальных учреждений культуры Ленинградской области</t>
  </si>
  <si>
    <t>на государственную поддержку малого и среднего предпринимательства, включая крестьянские (фермерские) хозяйства</t>
  </si>
  <si>
    <t>на мероприятия по поддержке субъектов малого и среднего предпринимательства, осуществляющих деятельность в сфере народных художественных промыслов и (или) ремесел</t>
  </si>
  <si>
    <t>на разработку и актуализацию документов стратегического планирования муниципальных образований Ленинградской области</t>
  </si>
  <si>
    <t>на мероприятия по формированию доступной среды жизнедеятельности для инвалидов в Ленинградской области</t>
  </si>
  <si>
    <t>СУБВЕНЦИИ бюджетам субъектов Российской Федерации и муниципальных образований</t>
  </si>
  <si>
    <t>на выполнение передаваемых полномочий субъектов Российской Федерации, в том числе</t>
  </si>
  <si>
    <t>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</si>
  <si>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</si>
  <si>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 xml:space="preserve">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 </t>
  </si>
  <si>
    <t xml:space="preserve">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 </t>
  </si>
  <si>
    <t>по поддержке сельскохозяйственного производства</t>
  </si>
  <si>
    <t>в сфере профилактики безнадзорности и правонарушений несовершеннолетних</t>
  </si>
  <si>
    <t>в сфере административных правоотношений</t>
  </si>
  <si>
    <t>в сфере жилищных отношений</t>
  </si>
  <si>
    <t>в сфере обращения с безнадзорными животными на территории Ленинградской области</t>
  </si>
  <si>
    <t>по расчету и предоставлению дотаций на выравнивание бюджетной обеспеченности поселений за счет средств областного бюджета</t>
  </si>
  <si>
    <t>в области архивного дела</t>
  </si>
  <si>
    <t xml:space="preserve"> - по организации выплаты вознаграждения, причитающегося приемным родителям</t>
  </si>
  <si>
    <t xml:space="preserve"> -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</si>
  <si>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</si>
  <si>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 xml:space="preserve"> ИНЫЕ МЕЖБЮДЖЕТНЫЕ ТРАНСФЕРТЫ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</si>
  <si>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образований, в том числе:</t>
  </si>
  <si>
    <t xml:space="preserve"> -комплектование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</si>
  <si>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-комплектование книжных фондов библиотек муниципальных образований</t>
  </si>
  <si>
    <t xml:space="preserve">БЕЗВОЗМЕЗДНЫЕ ПОСТУПЛЕНИЯ ОТ НЕГОСУДАРСТВЕННЫХ ОРГАНИЗАЦИЙ
</t>
  </si>
  <si>
    <t xml:space="preserve">Предоставление негосударственными организациями грантов для получателей средств бюджетов муниципальных районов
</t>
  </si>
  <si>
    <t>S0140</t>
  </si>
  <si>
    <t>Иные межбюджетные трансферты бюджетам муниципальных образований  Волховского муниципального района на поддержку мер по обеспечению сбалансированности бюджетов</t>
  </si>
  <si>
    <t>60310</t>
  </si>
  <si>
    <t>Иные межбюджетные трансферты на реализацию мероприятий по созданию туристско-рекреационного кластера "Старая Ладога"</t>
  </si>
  <si>
    <t>Поддержка государственных программ субъектов РФ и муниципальных программ формирования современной городской среды за счет средств резервного фонда Правительства РФ</t>
  </si>
  <si>
    <t xml:space="preserve"> 1 11 07000 00 0000 120</t>
  </si>
  <si>
    <t>Платежи от государственных и муниципальных унитарных предприятий</t>
  </si>
  <si>
    <t>L555F</t>
  </si>
  <si>
    <t>11060</t>
  </si>
  <si>
    <t>Подготовка проектов планировки и проектов межевания территории</t>
  </si>
  <si>
    <t>Субсидия бюджетам муниципальных районов на поддержку отрасли культуры</t>
  </si>
  <si>
    <t>06130</t>
  </si>
  <si>
    <t>Взнос в уставный капитал общества с ограниченной ответственностью «Волховские коммунальные системы»</t>
  </si>
  <si>
    <t>НАИМЕНОВАНИЕ</t>
  </si>
  <si>
    <t>000 01 02 00 00 00 0000 000</t>
  </si>
  <si>
    <t>Кредиты кредитных организаций в валюте Российской Федерации</t>
  </si>
  <si>
    <t>000 01 02 00 00 05 0000 710</t>
  </si>
  <si>
    <t>Кредиты кредитных организаций бюджетам муниципальных районов в валюте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</si>
  <si>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</si>
  <si>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</si>
  <si>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</si>
  <si>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</si>
  <si>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</si>
  <si>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</si>
  <si>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</si>
  <si>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</si>
  <si>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</si>
  <si>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</si>
  <si>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</si>
  <si>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</si>
  <si>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</si>
  <si>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</si>
  <si>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</si>
  <si>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</si>
  <si>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000 01 06 10 00 00 0000 000</t>
  </si>
  <si>
    <t>Операции по управлению остатками средств на единых счетах бюджета</t>
  </si>
  <si>
    <t>000 01 06 10 02 05 0003 550</t>
  </si>
  <si>
    <t>Увеличение финансовых активов в собственности муниципальных районов за счет средств автономных и бюджетных учреждений</t>
  </si>
  <si>
    <t>Всего источников внутреннего финансирования</t>
  </si>
  <si>
    <t xml:space="preserve">Сумма (тысяч рублей) </t>
  </si>
  <si>
    <t>2019 год</t>
  </si>
  <si>
    <t>2020 год</t>
  </si>
  <si>
    <t xml:space="preserve">Сумма
(тысяч рублей) </t>
  </si>
  <si>
    <t>Код бюджетной классификации</t>
  </si>
  <si>
    <t>Источники внутреннего финансирования дефицита  районного бюджета Волховского муниципального района Ленинградской области на 2018 год и плановый период 2019 и 2020 годов</t>
  </si>
  <si>
    <t>Код</t>
  </si>
  <si>
    <t xml:space="preserve"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 </t>
  </si>
  <si>
    <t>по организации и осуществлению деятельности по опеке и попечительству</t>
  </si>
  <si>
    <t>по подготовку граждан, выразивших желание стать опекунами или попечителями несовершеннолетних граждан</t>
  </si>
  <si>
    <t>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</si>
  <si>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</t>
  </si>
  <si>
    <t>по предоставлению земельных участков, государственная собственность на которые не разграничена, расположенных на территории  городских поселений соответствующего муниципального района, при наличии утвержденных правил землепользования и застройки, за исключением случаев, предусмотренных законодательством РФ об автомобильных дорогах и дорожной деятельности</t>
  </si>
  <si>
    <t>по предоставлению гражданам ЕДВ на проведение капитального ремонта индивидуальных жилых домов в соответствии с областным законом ЛО от 13.10.2014г. №62-оз "О предоставлении отдельным категориям граждан единовременной денежной выплаты на проведение капитального ремонта индивидуальных жилых домов"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</si>
  <si>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</si>
  <si>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</si>
  <si>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</si>
  <si>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</si>
  <si>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</si>
  <si>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</si>
  <si>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300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</si>
  <si>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</si>
  <si>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</si>
  <si>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</si>
  <si>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Межбюджетные трансферты</t>
  </si>
  <si>
    <t>500</t>
  </si>
  <si>
    <t xml:space="preserve">Межбюджетные трансферты </t>
  </si>
  <si>
    <t>400</t>
  </si>
  <si>
    <t xml:space="preserve">Капитальные вложения в объекты государственной (муниципальной) собственности
</t>
  </si>
  <si>
    <t>Обслуживание государственного (муниципального) долга</t>
  </si>
  <si>
    <t>Капитальные вложения в объекты государственной (муниципальной) собственности</t>
  </si>
  <si>
    <t xml:space="preserve">Подпрограмма "Обеспечение  реализации   муниципальной   программы Волховского муниципального района  "Развитие   сельского   хозяйства Волховского муниципального района"  </t>
  </si>
  <si>
    <t>L0970</t>
  </si>
  <si>
    <t>11070</t>
  </si>
  <si>
    <t>Информатизация и модернизация отрасли "Культура"</t>
  </si>
  <si>
    <t>11080</t>
  </si>
  <si>
    <t>Укрепление материально-технической базы учреждений культуры</t>
  </si>
  <si>
    <t>Субсидии на оказание финансовой помощи советам ветеранов, организациям инвалидов</t>
  </si>
  <si>
    <t>11090</t>
  </si>
  <si>
    <t>Поддержка отрасли культуры</t>
  </si>
  <si>
    <t>L5190</t>
  </si>
  <si>
    <t>Подпрограмма "Реализация гарантий для детей-сирот и детей, оставшихся без попечения родителей"</t>
  </si>
  <si>
    <t>Основное мероприятие "Реализация гарантий для детей-сирот и детей, оставшихся без попечения родителей"</t>
  </si>
  <si>
    <t>11100</t>
  </si>
  <si>
    <t>На организацию отдыха детей, находящихся в трудной жизненной ситуации, в каникулярное время</t>
  </si>
  <si>
    <t>00161</t>
  </si>
  <si>
    <t>Обеспечение деятельности муниципальных казенных учреждений (услуги учреждениям социальной сферы)</t>
  </si>
  <si>
    <t>на организацию отдыха детей, находящихся в трудной жизненной ситуации, в каникулярное время</t>
  </si>
  <si>
    <t xml:space="preserve">                           (приложение 3)</t>
  </si>
  <si>
    <t>Подпрограмма "Реализация  гарантий для детей-сирот и детей, оставшихся без попечения родителей"</t>
  </si>
  <si>
    <t>Основное мероприятие "Реализация  гарантий для детей-сирот и детей, оставшихся без попечения родителей"</t>
  </si>
  <si>
    <t>2018 год утверждено</t>
  </si>
  <si>
    <t>Изменения</t>
  </si>
  <si>
    <t xml:space="preserve">от                           2018 года № </t>
  </si>
  <si>
    <t xml:space="preserve">Изменения </t>
  </si>
  <si>
    <t xml:space="preserve">                           (приложение 2)</t>
  </si>
  <si>
    <t>№ п/п</t>
  </si>
  <si>
    <t>(тыс.руб.)</t>
  </si>
  <si>
    <t>S4330</t>
  </si>
  <si>
    <t xml:space="preserve">Иные межбюджетные трансферты на организацию и проведение социально-культурных мероприятий </t>
  </si>
  <si>
    <t>60320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</si>
  <si>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</si>
  <si>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51760</t>
  </si>
  <si>
    <t>На поощрение победителей и лауреатов областных конкурсов в области образования</t>
  </si>
  <si>
    <t>72080</t>
  </si>
  <si>
    <t>S5190</t>
  </si>
  <si>
    <t>70820</t>
  </si>
  <si>
    <t>(приложение 9)</t>
  </si>
  <si>
    <t>(приложение 8)</t>
  </si>
  <si>
    <t>2018 год</t>
  </si>
  <si>
    <t xml:space="preserve">                           (приложение 1)</t>
  </si>
  <si>
    <t>Сумма (тыс.рублей)</t>
  </si>
  <si>
    <t>60660</t>
  </si>
  <si>
    <t>Иные межбюджетные трансферты за счёт резервного фонда администрации Волховского муниципального района в рамках непрограммных расходов органов местного самоуправления</t>
  </si>
  <si>
    <t>Размер дефицита от утвержденного общего годового объема доходов бюджета без учета утвержденного объема безвозмездных поступлений и поступлений налоговых доходов по дополнительным нормативам отчислений, %</t>
  </si>
  <si>
    <t>Обновление транспортных средств для осуществления пассажирских перевозок на территории Волховского муниципального района</t>
  </si>
  <si>
    <t>L0270</t>
  </si>
  <si>
    <t>Мероприятия государственной программы Российской Федерации "Доступная среда" на 2011-2020 годы</t>
  </si>
  <si>
    <t>S0860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</si>
  <si>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</si>
  <si>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60330</t>
  </si>
  <si>
    <t>S0360</t>
  </si>
  <si>
    <t>Иные межбюджетные трансферты на подготовку и проведение мероприятий, посвященных Дню образования Волховского района</t>
  </si>
  <si>
    <t>2021 год</t>
  </si>
  <si>
    <t>Основное мероприятие "Обеспечение реализации мероприятий по повышению надежности и энергетической эффективности в системах теплоснабжения</t>
  </si>
  <si>
    <t xml:space="preserve">Подпрограмма "Энергетика Волховского муниципального района" </t>
  </si>
  <si>
    <t>Основное мероприятие "Развитие и восстановление объектов теплоснабжения муниципальных образований Волховского муниципального района"</t>
  </si>
  <si>
    <t xml:space="preserve">Подпрограмма "Газификация на территории Волховского муниципального района" </t>
  </si>
  <si>
    <t>Основное мероприятие "Развитие газораспределительной сети и строительство газораспределительной сети на территроии Волховского муниципального района"</t>
  </si>
  <si>
    <t>Основное мероприятие "Реализация жилищных программ"</t>
  </si>
  <si>
    <t>Основное мероприятие "Совершенствование материально-технической базы учреждений культуры и сохранение объектов культурного наследия"</t>
  </si>
  <si>
    <t>Основное мероприятие "Сохранение и развитие народной культуры и самодеятельного творчества"</t>
  </si>
  <si>
    <t xml:space="preserve">Основное мероприятие "Создание благоприятных условий для развития новых видов спорта" </t>
  </si>
  <si>
    <t>Основные мероприятия "Популяризация физической культуры и спорта "</t>
  </si>
  <si>
    <t xml:space="preserve">Основное мероприятие "Развитие адаптивной физической культуры и спорта"  </t>
  </si>
  <si>
    <t xml:space="preserve">Проведение  и участие в физкультурных мероприятий и спортивных соревнований, спартакиадах для лиц с ограниченными возможностями и инвалидов по различным  видам спорта  </t>
  </si>
  <si>
    <t>Основное мероприятие "Модернизация инфраструктуры и материально-технической базы муниципальной системы физической культуры и спорта, строительство новых спортивных объектов"</t>
  </si>
  <si>
    <t>Муниципальная программа Волховского муниципального района "Молодежь Волховского муниципального района"</t>
  </si>
  <si>
    <t>Основное мероприятие "Создание условий для реализации творческих способностей молодежи"</t>
  </si>
  <si>
    <t>Подпрограмма "Поддержка деятельности молодежи Волховского муниципального района"</t>
  </si>
  <si>
    <t>Основное мероприятие "Содействие молодежи в трудоустройстве и адаптации к рынку труда"</t>
  </si>
  <si>
    <t>Основное мероприятие «Сохранение исторической памяти, гражданско-патриотическое и духовно-нравственное воспитание молодежи»</t>
  </si>
  <si>
    <t>Основное мероприятие "Профилактика социально-негативных явлений среди молодежи, предупреждение девиантного поведения"</t>
  </si>
  <si>
    <t>Основное мероприятие "Реализация мероприятий в сфере энергосбережения и повышения энергетической эффективности с целью экономии энергетических ресурсов"</t>
  </si>
  <si>
    <t xml:space="preserve">Реализация мероприятий по содействию привлечения в учреждения образования района молодых специалистов </t>
  </si>
  <si>
    <t xml:space="preserve">Подпрограмма "Развитие отраслей агропромышленного и рыбохозяйственного комплекса Волховского муниципального района"  </t>
  </si>
  <si>
    <t xml:space="preserve">Основное мероприятие "Повышение уровня ресурсного потенциала развития агропромышленного и рыбохозяйственного комплекса"
</t>
  </si>
  <si>
    <t xml:space="preserve">Предоставление субсидии на развитие животноводства </t>
  </si>
  <si>
    <t xml:space="preserve">Основное мероприятие "Развитие малых форм хозяйствования и сельскохозяйственной кооперации"
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</si>
  <si>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 </t>
  </si>
  <si>
    <t>Создание запасов материальных ресурсов</t>
  </si>
  <si>
    <t xml:space="preserve">Подпрограмма "Повышение эффективности управления и снижение административных барьеров в Волховском муниципальном районе" </t>
  </si>
  <si>
    <t>Основное мероприятие "Внедрение перспективных методов кадровой работы"</t>
  </si>
  <si>
    <t>Реализация  образовательных мероприятий направленных на повышение квалификации муниципальных служащих</t>
  </si>
  <si>
    <t>Участие в мероприятиях по обмену опытом (стажировка должностных лиц в передовых муниципальных образованиях регионов РФ, организация зарубежных стажировок)</t>
  </si>
  <si>
    <t>Реализация мероприятий по совершенствованию системы мотивации персонала</t>
  </si>
  <si>
    <t>Организация и проведение мероприятий по улучшению условий и охраны труда и снижению уровней профессиональных рисков</t>
  </si>
  <si>
    <t>Муниципальная программа Волховского муниципального района "Устойчивое общественное развитие Волховского муниципального района"</t>
  </si>
  <si>
    <t>Основное мероприятие "Оказание бесплатной юридической помощи по вопросам защиты прав потребителей"</t>
  </si>
  <si>
    <t>Подпрограмма "Развитие международных  связей и  гармонизация межнациональных и межконфессиональных отношений в Волховском муниципальном районе" </t>
  </si>
  <si>
    <t>Основное мероприятие "Развитие культурных и побратимских связей района"</t>
  </si>
  <si>
    <t>Основное мероприятие "Оказание содействия развитию социально-ориентированных некоммерческих организаций (далее – СО НКО) и субъектов социального предпринимательства"</t>
  </si>
  <si>
    <t>Подпрограмма "Охрана окружающей среды Волховского муниципального района"</t>
  </si>
  <si>
    <t>Поддержка экологического воспитания, образования и просвещения школьников</t>
  </si>
  <si>
    <t>Подпрограмма "Устойчивое развитие сельских территорий Волховского муниципального района"</t>
  </si>
  <si>
    <t>Основное мероприятие "Формирование позитивного отношения к сельскому образу жизни, поощрение и популяризация достижений в сфере сельского хозяйства и развития сельских территорий"</t>
  </si>
  <si>
    <t>Подпрограмма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</si>
  <si>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>Основное мероприятие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</si>
  <si>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 xml:space="preserve">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 </t>
  </si>
  <si>
    <t>Обеспечение участия представителей Волховского района в областных и федеральных конкурсах и выставках</t>
  </si>
  <si>
    <t>Иные межбюджетные трансферты на повышение надежности и энергетической эффективности в системах теплоснабжения</t>
  </si>
  <si>
    <t>Иные межбюджетные трансферты на проектирование  и строительство системы уличного освещения с внедрением энергосберегающего оборудования</t>
  </si>
  <si>
    <t xml:space="preserve">Иные межбюджетные трансферты на оснащение приборами учета бюджетных учреждений первого уровня </t>
  </si>
  <si>
    <t>Основное мероприятие "Развитие инфраструктуры дополнительного образования"</t>
  </si>
  <si>
    <t>Иные межбюджетные трансферты на поддержку деятельности  молодежных организаций и объединений, молодежных инициатив и развитие волонтерского движения</t>
  </si>
  <si>
    <t>Иные межбюджетные трансферты на реализацию комплекса мер по пропаганде семейных ценностей и поддержке молодых семей</t>
  </si>
  <si>
    <t>Основное мероприятие "Предоставление финансовой и имущественной поддержки субъектам МСП"</t>
  </si>
  <si>
    <t>Основное мероприятие "Содействие развитию организаций инфраструктуры поддержки МСП и продвижению их услуг"</t>
  </si>
  <si>
    <t>Основное мероприятие "Содействие в реализации товаров, работ и услуг субъектов МСП на  потребительском рынке"</t>
  </si>
  <si>
    <t>Предоставление субсидий субъектам малого и среднего предпринимательства  по поддержке организаций потребительской кооперации</t>
  </si>
  <si>
    <t>Основное мероприятие "Формирование эффективной системы управления реализацией мероприятий по развитию  МСП"</t>
  </si>
  <si>
    <t>S0810</t>
  </si>
  <si>
    <t>Иные межбюджетные трансферты на разработку проектно-изыскательских работ по  капитальному строительству объектов газификации и прохождения Государственной экспертизы</t>
  </si>
  <si>
    <t>60340</t>
  </si>
  <si>
    <t>60350</t>
  </si>
  <si>
    <t>60360</t>
  </si>
  <si>
    <t>11120</t>
  </si>
  <si>
    <t xml:space="preserve"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</t>
  </si>
  <si>
    <t>Организация и проведение конкурсных, выставочных и культурно-массовых мероприятий, в т.ч. выставок-ярмарок продукции народных художественных промыслов и ремесел</t>
  </si>
  <si>
    <t>11130</t>
  </si>
  <si>
    <t>11140</t>
  </si>
  <si>
    <t>11150</t>
  </si>
  <si>
    <t>11160</t>
  </si>
  <si>
    <t>Основное мероприятие "Развитие институтов повышения гражданской активности молодежи"</t>
  </si>
  <si>
    <t>Субсидии организациям инфраструктуры поддержки МСП на развитие и обеспечение хозяйственной деятельности</t>
  </si>
  <si>
    <t>06140</t>
  </si>
  <si>
    <t>11170</t>
  </si>
  <si>
    <t xml:space="preserve">Информационная поддержка работы официального сайта администрации Волховского муниципального района (http://volkhov-raion.ru/), официальных сайтов органов местного самоуправления </t>
  </si>
  <si>
    <t>Подпрограмма "Развитие внутреннего и въездного туризма в Волховском муниципальном районе"</t>
  </si>
  <si>
    <t>Основное мероприятие "Формирование положительного туристского имиджа Волховского муниципального района"</t>
  </si>
  <si>
    <t>Основное мероприятие "Повышение уровня ресурсного потенциала развития агропромышленного и рыбохозяйственного комплекса"</t>
  </si>
  <si>
    <t>Основное мероприятие "Развитие малых форм хозяйствования и сельскохозяйственной кооперации"</t>
  </si>
  <si>
    <t>Иные межбюджетные трансферты на содействие участию молодежного актива Волховского района в молодежных районных, областных, региональных и всероссийских проектах</t>
  </si>
  <si>
    <t>Иные межбюджетные трансферты на организацию движения школьных и студенческих трудовых отрядов</t>
  </si>
  <si>
    <t xml:space="preserve">Обеспечение жильем отдельных категорий граждан, установленных федеральными законами от 12 января 1995 года № 5-ФЗ "О ветеранах" </t>
  </si>
  <si>
    <t>На реализацию мероприятий по установке автоматизированных индивидуальных тепловых пунктов с погодным и часовым  регулированием</t>
  </si>
  <si>
    <t xml:space="preserve">Паспортизация дорог общего пользования </t>
  </si>
  <si>
    <t>Основное мероприятие "Поддержка учреждений сферы культуры и искусства и содействие развитию профессионального уровня работников"</t>
  </si>
  <si>
    <t>Муниципальная программа Волховского муниципального района "Обеспечение устойчивого функционирования и развития транспортной системы, дорожной, коммунальной и инженерной инфраструктуры и повышение энергоэффективности в Волховском муниципальном районе"</t>
  </si>
  <si>
    <t>Подпрограмма "Развитие транспортной системы и дорожной инфраструктуры"</t>
  </si>
  <si>
    <t>Основное мероприятие "Развитие комфортного и безопасного общественного транспорта"</t>
  </si>
  <si>
    <t xml:space="preserve">Реализация комплекса мер по содержанию действующей улично-дорожной сети, а также искусственных дорожных сооружений </t>
  </si>
  <si>
    <t>11180</t>
  </si>
  <si>
    <t>Основное мероприятие "Обеспечение публичности бюджета Волховского муниципального района"</t>
  </si>
  <si>
    <t>Развитие и поддержка информационных технологий, обеспечивающих бюджетный процесс</t>
  </si>
  <si>
    <t>11190</t>
  </si>
  <si>
    <t>Основное мероприятие "Постановка на кадастровый учет земельных участков и объектов недвижимого имущества"</t>
  </si>
  <si>
    <t xml:space="preserve">Внесение в сведения ЕГРН информации о границах населенных пунктов Волховского муниципального района </t>
  </si>
  <si>
    <t xml:space="preserve">Внесение в сведения ЕГРН информации о границах территориальных зон населеных пунктов Волховского муниципального района </t>
  </si>
  <si>
    <t xml:space="preserve">2020 год </t>
  </si>
  <si>
    <t>(приложение 11)</t>
  </si>
  <si>
    <t>Дотация на выравнивание бюджетной обеспеченности</t>
  </si>
  <si>
    <t>Дотация на выравнивание бюджетной обеспеченности  за счет средств областного бюджета</t>
  </si>
  <si>
    <t>Итого дотации</t>
  </si>
  <si>
    <t>Иные межбюджетные трансферты на обеспечение мероприятий по переселению граждан из аварийного жилищного фонда</t>
  </si>
  <si>
    <t>Иные межбюджетные трансферты на реализацию мероприятий по обеспечению устойчивого функционирования объектов теплоснабжения на территории Ленинградской области</t>
  </si>
  <si>
    <t>Иные межбюджетные трансферты на проектирование, строительство и реконструкцию объектов</t>
  </si>
  <si>
    <t>Иные межбюджетные трансферты на организацию и проведение мероприятий в сфере культуры</t>
  </si>
  <si>
    <t>Иные межбюджетные трансферты на реализацию мероприятий по строительству и реконструкции спортивных объектов</t>
  </si>
  <si>
    <t>Иные межбюджетные трансферты на поддержку отрасли культуры</t>
  </si>
  <si>
    <t>Иные межбюджетные трансферты  на оказание дополнительной финансовой помощи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</si>
  <si>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</si>
  <si>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Иные межбюджетные трансферты бюджетам муниципальных образований Волховского муниципального района Ленинградской области на реализацию мероприятий по внедрению Всероссийского физкультурно-спортивного комплекса "Готов к труду и обороне" (ГТО)</t>
  </si>
  <si>
    <t>Иные межбюджетные трансферты на поддержку деятельности молодежных организаций и объединений, молодежных инициатив и развитие волонтерского движения</t>
  </si>
  <si>
    <t>Иные межбюджетные трансферты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</si>
  <si>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Иные межбюджетные трансферты на реализацию комплекса мер по сохранению исторической памяти</t>
  </si>
  <si>
    <t>Иные межбюджетные трансферты на реализацию комплекса мер по профилактике правонарушений и рискованного поведения в молодежной среде</t>
  </si>
  <si>
    <t>Иные межбюджетные трансферты бюджетам муниципальных образований</t>
  </si>
  <si>
    <t>ВСЕГО</t>
  </si>
  <si>
    <t>Иные межбюджетные трансферты на реализацию мероприятий по установке автоматизированных индивидуальных тепловых пунктов с погодным и часовым  регулированием</t>
  </si>
  <si>
    <t>Иные межбюджетные трансферты на обеспечение выплат стимулирующего характера работникам муниципальных учреждений культуры Ленинградской области</t>
  </si>
  <si>
    <t>Иные межбюджетные трансферты на замену светильников уличного освещения на энергосберегающие, в том числе ремонт сопутствующего оборудования</t>
  </si>
  <si>
    <t>11200</t>
  </si>
  <si>
    <t>S0490</t>
  </si>
  <si>
    <t>S0510</t>
  </si>
  <si>
    <t>S0570</t>
  </si>
  <si>
    <t xml:space="preserve">Субвенции бюджетам муниципальных районов на осуществление отдельных государственных полномочий по обеспечению жильем отдельных категорий граждан, установленных Федеральными законами от 12 января 1995 года № 5-ФЗ "О ветеранах"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</si>
  <si>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</si>
  <si>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муниципальных районов по обеспечению однократно благоустроенным жилым помещением специализированного жилищного фонда по договорам наймаспециализированных жилых помещений детей-сирот и детей, оставшихся безпопечения родителей, лиц из числа детей-сирот и детей, оставшихся без попечения родителей, которые не являются нанимателями жилых помещений по договорам социального найма или членами семьи нанимателя жилогопомещения по договору социального найма либо собственниками жилых помещений, а также детей-сирот и детей, оставшихся без попечения родителей, лиц из числа детей-сирот и детей, оставшихся без попечения родителей, которые являются нанимателями жилых помещений по договорамсоциального найма или членами семьи нанимателя жилого помещенияпо договору социального найма либо собственниками жилых помещений,в случае, если их проживание в ранее занимаемых жилых помещениях признается невозможным</t>
  </si>
  <si>
    <t>принятие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</si>
  <si>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S0600</t>
  </si>
  <si>
    <t>S4410</t>
  </si>
  <si>
    <t>S0840</t>
  </si>
  <si>
    <t>Развитие системы оценки качества образования и информационной прозрачности системы образования</t>
  </si>
  <si>
    <t xml:space="preserve">Подпрограмма "Обеспечение благоприятного инвестиционного климата и развитие диверсифицированного и высокотехнологичного промышленного комплекса в Волховском муниципальном районе" </t>
  </si>
  <si>
    <t xml:space="preserve">решением Совета депутатов </t>
  </si>
  <si>
    <t>Наименование объекта</t>
  </si>
  <si>
    <t>Бюджетополучатель</t>
  </si>
  <si>
    <t>годы стр-ва</t>
  </si>
  <si>
    <t>в том числе</t>
  </si>
  <si>
    <t>КБК (для работы)</t>
  </si>
  <si>
    <t>бюджет района</t>
  </si>
  <si>
    <t>областной бюджет</t>
  </si>
  <si>
    <t>Строительство здания крытой ледовой арены в г.Волхов</t>
  </si>
  <si>
    <t xml:space="preserve">ИТОГО по подпрограмме </t>
  </si>
  <si>
    <t>ВСЕГО по программе</t>
  </si>
  <si>
    <t>Муниципальная программа  "Современное образование в Волховском муниципальном районе"</t>
  </si>
  <si>
    <t>МДОБУ "Детский сад комбинированного вида № 2 "Рябинка" г.Волхов</t>
  </si>
  <si>
    <t>МДОБУ</t>
  </si>
  <si>
    <t>МДОБУ "Детский сад № 4" г.Волхов</t>
  </si>
  <si>
    <t>МДОБУ "Детский сад № 6 "Солнышко" г.Волхов</t>
  </si>
  <si>
    <t>МДОБУ "Детский сад № 8" Сказка"г.Волхов</t>
  </si>
  <si>
    <t>МДОБУ "Детский сад № 9 комбинированного вида "Радужка" г.Волхов</t>
  </si>
  <si>
    <t xml:space="preserve">МОБУ "Гостинопольская основная общеобразовательная школа" </t>
  </si>
  <si>
    <t>ИТОГО по подпрограмме</t>
  </si>
  <si>
    <t>Подпрограмма "Развитие начального общего, основного общего и среднего общего образования детей в Волховском районе"</t>
  </si>
  <si>
    <t>МОБУ "Алексинская средняя общеобразовательная школа"</t>
  </si>
  <si>
    <t>МОБУ "Кисельнинская средняя общеобразовательная школа"</t>
  </si>
  <si>
    <t>МОБУ "Волховская городская гимназия 3 им.Героя Советского Союза Александра Лукьянова"</t>
  </si>
  <si>
    <t>МОБУ</t>
  </si>
  <si>
    <t>МБУДО "Дворец детского (юношеского) творчества Волховского муниципального района</t>
  </si>
  <si>
    <t xml:space="preserve">МОБУ </t>
  </si>
  <si>
    <t>МБУДО "Детско-юношеская спортивная школа" г.Волхов</t>
  </si>
  <si>
    <t>Муниципальная программа "Развитие культуры в Волховском муниципальном районе"</t>
  </si>
  <si>
    <t>МБУДО "Волховская детская школа искусств"</t>
  </si>
  <si>
    <t>МБУДО "Волховская музыкальная школа им.Я. Сибелиуса"</t>
  </si>
  <si>
    <t>МБУДО "Пашская детская школа искусств"</t>
  </si>
  <si>
    <t xml:space="preserve">МОБУДО "Новоладожская  детская школа искусств" </t>
  </si>
  <si>
    <t xml:space="preserve">ИТОГО по подпрограмме: </t>
  </si>
  <si>
    <t>Строительство автомобильной дороги "Подъезд к дер. Козарево"</t>
  </si>
  <si>
    <t>МКУСиЗ</t>
  </si>
  <si>
    <t>ИТОГО по программе</t>
  </si>
  <si>
    <t xml:space="preserve">Итого непрограммные расходы </t>
  </si>
  <si>
    <t>ВСЕГО по адресной программе</t>
  </si>
  <si>
    <t>На строительство, реконструкцию, приобретение и пристрой объектов для организации общего образования</t>
  </si>
  <si>
    <t>S4450</t>
  </si>
  <si>
    <t>Подпрограмма "Повышение прозрачности и открытости бюджета Волховского муниципального района"</t>
  </si>
  <si>
    <t>Обеспечение работы КЧС и ОПБ, антитеррористической комиссии, комиссий по ОБДД  на территории Волховского муниципального района</t>
  </si>
  <si>
    <t>Обеспечение работы КЧС и ОПБ, антитеррористической комиссии, комиссий по ОБДД на территории Волховского муниципального района</t>
  </si>
  <si>
    <t xml:space="preserve">Создание безопасных условий в образовательных учреждениях </t>
  </si>
  <si>
    <t>Развитие кадрового потенциала системы социальной сферы</t>
  </si>
  <si>
    <t>Основное мероприятие "Повышение уровня деятельности муниципальных учреждений спорта"</t>
  </si>
  <si>
    <t>Подготовка руководящего состава ГО, КЧС и ОПБ администрации Волховского муниципального района</t>
  </si>
  <si>
    <t>Условно утвержденные расходы</t>
  </si>
  <si>
    <t>ВСЕГО РАСХОДОВ</t>
  </si>
  <si>
    <t>Итого расходов по кодам бюджетной классификации</t>
  </si>
  <si>
    <t>2 02 15002 05 0000 150</t>
  </si>
  <si>
    <t>2 02 29999 05 0000 150</t>
  </si>
  <si>
    <t>2 02 30027 05 0000 150</t>
  </si>
  <si>
    <t>2 02 35082 05 0000 150</t>
  </si>
  <si>
    <t>2 02 35134 05 0000 150</t>
  </si>
  <si>
    <t>2 02 35176 05 0000 150</t>
  </si>
  <si>
    <t>2 02 35260 05 0000 150</t>
  </si>
  <si>
    <t>2 02 35930 05 0000 150</t>
  </si>
  <si>
    <t>2 02 40014 05 0000 150</t>
  </si>
  <si>
    <t>2 02 25027 05 0000 150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</si>
  <si>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</si>
  <si>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2 02 00 000 00 0000 150</t>
  </si>
  <si>
    <t>2 02 10000 00 0000 150</t>
  </si>
  <si>
    <t xml:space="preserve"> 2 02 15001 05 0000 150</t>
  </si>
  <si>
    <t xml:space="preserve"> 2 02 30000 00 0000 150</t>
  </si>
  <si>
    <t xml:space="preserve"> 2 02 30024 05 0000 150</t>
  </si>
  <si>
    <t>2 02 35120 05 0000 150</t>
  </si>
  <si>
    <t>2 02 35135 05 0000 150</t>
  </si>
  <si>
    <t xml:space="preserve"> 2 02 40000 00 0000 150</t>
  </si>
  <si>
    <t xml:space="preserve"> 2 02 45160 05 0000 150</t>
  </si>
  <si>
    <t xml:space="preserve">Проведение  и участие в физкультурных мероприятиях и спортивных соревнованиях, спартакиадах для лиц с ограниченными возможностями и инвалидов по различным  видам спорта  </t>
  </si>
  <si>
    <t>60370</t>
  </si>
  <si>
    <t>Иные межбюджетные трансферты на предоставление бюджетных инвестиций  в объекты  капитального строительства газификации муниципальным образованиям</t>
  </si>
  <si>
    <t>2 02 20000 00 0000 150</t>
  </si>
  <si>
    <t>2 02 20077 05 0000 150</t>
  </si>
  <si>
    <t>2 02 20216 05 0000 150</t>
  </si>
  <si>
    <t>2 02 25097 05 0000 150</t>
  </si>
  <si>
    <t xml:space="preserve">2 02 25519 05 0000 150 </t>
  </si>
  <si>
    <t>на организацию электронного и дистанционного обучения детей-инвалидов</t>
  </si>
  <si>
    <t>S4700</t>
  </si>
  <si>
    <t>На организацию электронного и дистанционного обучения детей-инвалидов</t>
  </si>
  <si>
    <t>Федеральный проект "Успех каждого ребенка"</t>
  </si>
  <si>
    <t>Е2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</si>
  <si>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</si>
  <si>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50970</t>
  </si>
  <si>
    <t>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</si>
  <si>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</si>
  <si>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На ремонт автомобильных дорог общего пользования местного значения</t>
  </si>
  <si>
    <t>Федеральный проект "Современная школа"</t>
  </si>
  <si>
    <t>Е1</t>
  </si>
  <si>
    <t>51690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</si>
  <si>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</si>
  <si>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Основное мероприятие "Создание условий для вовлечения в оборот необрабатываемых земель сельскохозяйственного назначения"</t>
  </si>
  <si>
    <t>Проведение кадастровых работ по образованию земельных участков из состава земель сельскохозяйственного назначения</t>
  </si>
  <si>
    <t>S4680</t>
  </si>
  <si>
    <t>Предоставление субсидий организациям, образующим инфраструктуру поддержки субъектов МСП, на возмещение части  затрат,связанных с оказанием  безвозмездных информационных, консультационных и образовательных  услуг в сфере предпринимательства, на развитие новых направлений поддержки субъектов МСП</t>
  </si>
  <si>
    <t>06150</t>
  </si>
  <si>
    <t>S4560</t>
  </si>
  <si>
    <t>Cофинансирование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</si>
  <si>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Основное мероприятие "Развитие автомобильных дорог общего пользования и объектов дорожного хозяйства на межпоселенческих территориях"</t>
  </si>
  <si>
    <t>Иные межбюджетные трансферты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</si>
  <si>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Муниципальная программа  Волховского муниципального района  «Развитие малого, среднего бизнеса и потребительского рынка Волховского муниципального района"</t>
  </si>
  <si>
    <t>Совет депутатов Волховского муниципального района Ленинградской области</t>
  </si>
  <si>
    <t>Комитет по образованию администрации Волховского муниципального района Ленинградской области</t>
  </si>
  <si>
    <t xml:space="preserve">Исполнение функций органов местного самоуправления за счет средств гранта за достижение наилучших значений показателей эффективности деятельности органов местного самоуправления </t>
  </si>
  <si>
    <t>70070</t>
  </si>
  <si>
    <t>проведение кадастровых работ по образованию земельных участков из состава земель сельскохозяйственного назначения</t>
  </si>
  <si>
    <t>11210</t>
  </si>
  <si>
    <t>11211</t>
  </si>
  <si>
    <t>Текущий ремонт автодорог к населенным пунктам Волховского муниципального района</t>
  </si>
  <si>
    <t>Текущий ремонт автодорог к населенным пунктам Волховского муниципального района (исполнение судебных актов)</t>
  </si>
  <si>
    <t>60380</t>
  </si>
  <si>
    <t xml:space="preserve">Иные межбюджетные трансферты бюджетам муниципальных образований Волховского муниципального района на благоустройство общественных зон и дворовых территорий многоквартирных домов </t>
  </si>
  <si>
    <t xml:space="preserve">Проведение мероприятий за счет средств гранта за достижение наилучших значений показателей эффективности деятельности органов местного самоуправления </t>
  </si>
  <si>
    <t>Иные межбюджетные трансферты бюджетам муниципальных образований Волховского муниципального района на за счет средств гранта за достижение наилучших значений показателей эффективности деятельности органов местного самоуправления</t>
  </si>
  <si>
    <t>МДОБУ "Детский сад № 10" Светлячок"</t>
  </si>
  <si>
    <t>МОБУ "Староладожская средняя общеобразовательная школа"</t>
  </si>
  <si>
    <t>2 02 25169 05 0000 150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</si>
  <si>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</si>
  <si>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Расширение системы оповещения населения Волховского муниципального района</t>
  </si>
  <si>
    <t>11220</t>
  </si>
  <si>
    <t>Обеспечение функционирования модели персонифицированного финансирования дополнительного образования детей"</t>
  </si>
  <si>
    <t>11230</t>
  </si>
  <si>
    <t>S4730</t>
  </si>
  <si>
    <t>Обеспечение функционирования модели персонифицированного финансирования дополнительного образования детей</t>
  </si>
  <si>
    <t>МДОБУ "Детский сад № 7 "Искорка" г.Волхов</t>
  </si>
  <si>
    <t>МДОБУ "Детский сад № 18 "Теремок"</t>
  </si>
  <si>
    <t>На капитальное строительство (реконструкцию) объектов теплоэнергетики, включая проектно-изыскательские работы</t>
  </si>
  <si>
    <t xml:space="preserve">Иные межбюджетные трансферты на предоставление бюджетных инвестиций  в объекты  капитального строительства газификации муниципальным образованиям </t>
  </si>
  <si>
    <t>Создание безопасных условий в учреждениях культуры и дополнительного образования детей в сфере искусств</t>
  </si>
  <si>
    <t>11240</t>
  </si>
  <si>
    <t>60390</t>
  </si>
  <si>
    <t>Иные межбюджетные трансферты на проведение ремонтных работ учреждений культуры  поселений Волховского муниципального района</t>
  </si>
  <si>
    <t>Потреб-ность</t>
  </si>
  <si>
    <t>МБУДО  «Волховская художественная школа им. В.М. Максимова»</t>
  </si>
  <si>
    <t>2022 год</t>
  </si>
  <si>
    <t>Прогнозируемые поступления доходов районного бюджета Волховского муниципального района Ленинградской области на 2020 год и плановый период 2021 и 2022 годов</t>
  </si>
  <si>
    <t>Безвозмездные поступления районного  бюджета Волховского  муниципального  района  Ленинградской  области на 2020 год и плановый период 2021 и 2022 годов</t>
  </si>
  <si>
    <t>Распределение бюджетных ассигнований по разделам, подразделам классификации расходов бюджетов 
на 2020 год и плановый период 2021 и 2022 годов</t>
  </si>
  <si>
    <t>Распределение бюджетных ассигнований по целевым статьям (муниципальным программам Волховского муниципального района и непрограммным направлениям деятельности), группам  видов расходов классификации расходов бюджетов, по разделам и подразделам классификации расходов бюджетов на 2020 год и плановый период 2021 и 2022 годов</t>
  </si>
  <si>
    <t>Адресная  программа  капитальных  вложений и ремонтных работ на  2020 год и плановый период 2021 и 2022 годов по  объектам  Волховского муниципального района</t>
  </si>
  <si>
    <t xml:space="preserve"> Ведомственная структура расходов районного бюджета Волховского муниципального района на 2020 год и плановый период 2021 и 2022 годов
</t>
  </si>
  <si>
    <t>Формы, цели и объем межбюджетных трансфертов
бюджетам муниципальных образований Волховского муниципального района
на 2020 год и плановый период 2021 и 2022 годов</t>
  </si>
  <si>
    <t>План на 2020 год</t>
  </si>
  <si>
    <t>Виды работ на 2020 год</t>
  </si>
  <si>
    <t xml:space="preserve">- на поддержку социально
ориентированных некоммерческих организаций Ленинградской
области, осуществляющих социальную поддержку и защиту
ветеранов войны, труда, Вооруженных Сил, правоохранительных
органов, жителей блокадного Ленинграда и бывших малолетних
узников фашистских лагерей
</t>
  </si>
  <si>
    <t>(приложение 10)</t>
  </si>
  <si>
    <t>(приложение 7)</t>
  </si>
  <si>
    <t>S4840</t>
  </si>
  <si>
    <t>На поддержку развития общественной инфраструктуры муниципального значения</t>
  </si>
  <si>
    <t>11250</t>
  </si>
  <si>
    <t>Иные межбюджетные трансферты на капитальное строительство (реконструкцию) объектов теплоэнергетики, включая проектно-изыскательские работы</t>
  </si>
  <si>
    <t>60400</t>
  </si>
  <si>
    <t>Основное мероприятие "Оказание содействия в обеспечении общественного порядка"</t>
  </si>
  <si>
    <t>Прочие мероприятия в области национальной безопасности и правоохранительной деятельности</t>
  </si>
  <si>
    <t>11260</t>
  </si>
  <si>
    <t>S4050</t>
  </si>
  <si>
    <t>На реализацию мероприятий по строительству и реконструкции спортивных объектов</t>
  </si>
  <si>
    <t>2020, 2021, 2022</t>
  </si>
  <si>
    <t xml:space="preserve">На проведение комплексных кадастровых работ </t>
  </si>
  <si>
    <t>S4620</t>
  </si>
  <si>
    <t xml:space="preserve">На поддержку социально-ориентированных некоммерческих организаций Ленинградской области, осуществляющих социальную поддержку и защиту
ветеранов войны, труда, Вооруженных Сил, правоохранительных органов, жителей блокадного Ленинграда и бывших малолетних узников фашистских лагерей
</t>
  </si>
  <si>
    <t>11270</t>
  </si>
  <si>
    <t>Актуализация цифровой и картографической основы для ведения государственной информационной системы обеспечения градостроительной деятельности</t>
  </si>
  <si>
    <t>60410</t>
  </si>
  <si>
    <t xml:space="preserve">Иные межбюджетные трансферты на 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 </t>
  </si>
  <si>
    <t>На поддержку социально-ориентированных некоммерческих организаций Ленинградской области, осуществляющих социальную поддержку и защиту
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</si>
  <si>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МОБУ "Сясьстройская средняя общеобразовательная школа №2"</t>
  </si>
  <si>
    <t xml:space="preserve">МОБУ "Бережковская основная общеобразовательная школа" </t>
  </si>
  <si>
    <t>МОБУ "Пашская средняя общеобразовательная школа"</t>
  </si>
  <si>
    <t>МОБУ "Потанинская средняя общеобразовательная школа"</t>
  </si>
  <si>
    <t>МОБУ "Свирицкая средняя общеобразовательная школа"</t>
  </si>
  <si>
    <t>МБУДО "ДЮСШ" Волховского муниципального района</t>
  </si>
  <si>
    <t>Софинансирование строительства объекта</t>
  </si>
  <si>
    <t>Ввод объекта в эксплуатацию</t>
  </si>
  <si>
    <t>Текущий ремонт автодорог</t>
  </si>
  <si>
    <t>Ремонтные работы</t>
  </si>
  <si>
    <t>МОБУДО "Сясьстройская детская школа искусств"</t>
  </si>
  <si>
    <t>60420</t>
  </si>
  <si>
    <t>Иные межбюджетные трансферты бюджетам муниципальных образований  Волховского муниципального района на оказание дополнительной финансовой помощи поселениям в целях обеспечения сбалансированности бюджетов</t>
  </si>
  <si>
    <t>2020 год утверждено</t>
  </si>
  <si>
    <t xml:space="preserve">2020 год утверждено </t>
  </si>
  <si>
    <t>Федеральный проект "Цифровая образовательная среда"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</si>
  <si>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</si>
  <si>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Е4</t>
  </si>
  <si>
    <t>52100</t>
  </si>
  <si>
    <t>МОБУ "Волховская средняя общеобразовательная школа №5"</t>
  </si>
  <si>
    <t>МОБУ "Сясьстройская средняя общеобразовательная школа №1"</t>
  </si>
  <si>
    <t>Ремонт автодороги к дер. Любыни</t>
  </si>
  <si>
    <t>Ремонт дорожного покрытия и элементов дороги</t>
  </si>
  <si>
    <t xml:space="preserve">На реновацию дошкольных образовательных организаций </t>
  </si>
  <si>
    <t>S4590</t>
  </si>
  <si>
    <t>Ремонтные работы (реновация)</t>
  </si>
  <si>
    <t>На проведение капитального ремонта спортивных площадок (стадионов) общеобразовательных организаций</t>
  </si>
  <si>
    <t>S4890</t>
  </si>
  <si>
    <t>на проведение капитального ремонта спортивных площадок (стадионов) общеобразовательных организаций</t>
  </si>
  <si>
    <t>на поддержку развития инфраструктуры муниципального значения</t>
  </si>
  <si>
    <t>План на 2021 год</t>
  </si>
  <si>
    <t>План на 2022 год</t>
  </si>
  <si>
    <t>МОУ "Усадищенская средняя общеобразовательная школа"</t>
  </si>
  <si>
    <t xml:space="preserve">На организацию и проведение социально-культурных мероприятий </t>
  </si>
  <si>
    <t>11280</t>
  </si>
  <si>
    <t>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</si>
  <si>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S4200</t>
  </si>
  <si>
    <t>МОБУ "Волховская средняя общеобразовательная школа №1"</t>
  </si>
  <si>
    <t>МОБУ "Волховская средняя общеобразовательная школа №6"</t>
  </si>
  <si>
    <t>МБУДО "Центр детско - юношеского туризма и парусного спорта"</t>
  </si>
  <si>
    <t>на реновацию дошкольных образовательных организаций</t>
  </si>
  <si>
    <t>2 02 25210 05 0000 150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</si>
  <si>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</si>
  <si>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11110</t>
  </si>
  <si>
    <t>Создание безопасных условий для борьбы с коронавирусной инфекцией</t>
  </si>
  <si>
    <t>11290</t>
  </si>
  <si>
    <t>Обеспечение продуктовыми наборами отдельных категорий воспитанников</t>
  </si>
  <si>
    <t xml:space="preserve">на проведение комплексных кадастровых работ </t>
  </si>
  <si>
    <t>Организация мониторинга деятельности субъектов малого и среднего предпринимательства и потребительского рынка Ленинградской области</t>
  </si>
  <si>
    <t>На реализацию мероприятий по повышению надежности и энергетической эффективности в системах теплоснабжения</t>
  </si>
  <si>
    <t>на реализацию мероприятий по повышению надежности и энергетической эффективности в системах теплоснабжения</t>
  </si>
  <si>
    <t>S0180</t>
  </si>
  <si>
    <t>Ремонт и содержание муниципального жилищного фонда</t>
  </si>
  <si>
    <t>11300</t>
  </si>
  <si>
    <t>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</si>
  <si>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на поддержку и развитие субъектов малого и среднего предпринимательства на организацию предпринимательской деятельности</t>
  </si>
  <si>
    <t>организация мониторинга деятельности субъектов малого и среднего предпринимательства и потребительского рынка Ленинградской области</t>
  </si>
  <si>
    <t xml:space="preserve">Основное мероприятие "Организация деловых миссий, содействие участию субъектов МСП в муниципальных, региональных, российских и международных конгрессно-выставочных мероприятиях" </t>
  </si>
  <si>
    <t>Субсидия на возмещение затрат при проведении мероприятий районного значения и обеспечении участия в мероприятиях регионального значения</t>
  </si>
  <si>
    <t>06170</t>
  </si>
  <si>
    <t>Разработка комплексной схемы организации дорожного движения (КСОДД) Волховского муниципального района</t>
  </si>
  <si>
    <t>Организация деловых миссий, содействие участию субъектов МСП в муниципальных, региональных, российских и международных конгрессно-выставочных мероприятиях</t>
  </si>
  <si>
    <t xml:space="preserve"> </t>
  </si>
  <si>
    <t xml:space="preserve">Иные межбюджетные трансферты на оснащение приборами учета бюджетных учреждений первого уровня, в том числе проектные работы </t>
  </si>
  <si>
    <t>2020, 2021</t>
  </si>
  <si>
    <t>Ремонт дорог по решениям суда (дер.Яхновщина,д.Ашперлово, д.Устеево,д.Баландино и д.Тайбольское)</t>
  </si>
  <si>
    <t>Ремонт дорог</t>
  </si>
  <si>
    <t>Иные межбюджетные трансферты на оснащение приборами учета бюджетных учреждений первого уровня, в том числе проектные работы</t>
  </si>
  <si>
    <t>Ремонт автодороги к дер. Андреевщина</t>
  </si>
  <si>
    <t>софинансирование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</si>
  <si>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</si>
  <si>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</si>
  <si>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Иные межбюджетные трансферты бюджетам муниципальных образований Волховского муниципального района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</si>
  <si>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06160</t>
  </si>
  <si>
    <t>Субсидии Волховскому районному МУП "Волховавтосервис" в целях возмещения недополученных доходов, связанных с осуществлением деятельности в условиях ухудшения ситуации в связи с
распространением коронавирусной инфекции</t>
  </si>
  <si>
    <t>114 02000 00 0000 410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</si>
  <si>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</si>
  <si>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уровня:</t>
  </si>
  <si>
    <t>На обеспечение по заявлениям родителей (законных представителей) сухими пайками воспитанников, не посещающих дежурные группы муниципальных дошкольных образовательных организаций</t>
  </si>
  <si>
    <t>- на поощрение победителей и лауреатов областных конкурсов в области образования</t>
  </si>
  <si>
    <t>- на обеспечение по заявлениям родителей (законных представителей) сухими пайками воспитанников, не посещающих дежурные группы муниципальных дошкольных образовательных организаций</t>
  </si>
  <si>
    <t xml:space="preserve"> 2 02 49999 05 0000 150</t>
  </si>
  <si>
    <t>Расходы за счет резервного фонда Правительства Ленинградской области</t>
  </si>
  <si>
    <t>72120</t>
  </si>
  <si>
    <t>72170</t>
  </si>
  <si>
    <t>(приложение 49)</t>
  </si>
  <si>
    <t>Распределение иных межбюджетных трансфертов бюджетам муниципальных образований  Волховского муниципального района на поддержку мер по обеспечению сбалансированности бюджетов на 2020 год и плановый период 2021 и 2022 годов</t>
  </si>
  <si>
    <t>Наименование поселения</t>
  </si>
  <si>
    <t>Муниципальное образование Бережковское сельское поселение</t>
  </si>
  <si>
    <t>Муниципальное образование Вындиноостровское сельское поселение</t>
  </si>
  <si>
    <t>Муниципальное образование Иссадское сельское поселение</t>
  </si>
  <si>
    <t>Муниципальное образование Колчановское сельское поселение</t>
  </si>
  <si>
    <t>Муниципальное образование Кисельнинское сельское поселение</t>
  </si>
  <si>
    <t>Муниципальное образование Пашское сельское поселение</t>
  </si>
  <si>
    <t>Муниципальное образование Потанинское сельское поселение</t>
  </si>
  <si>
    <t>Муниципальное образование Староладожское сельское поселение</t>
  </si>
  <si>
    <t>Муниципальное образование Свирицкое сельское поселение</t>
  </si>
  <si>
    <t>Муниципальное образование Селивановское сельское поселение</t>
  </si>
  <si>
    <t>Муниципальное образование Усадищенское сельское поселение</t>
  </si>
  <si>
    <t>Муниципальное образование Хваловское сельское поселение</t>
  </si>
  <si>
    <t>Муниципальное образование Новоладожское городское поселение</t>
  </si>
  <si>
    <t>Муниципальное образование Сясьстройское городское поселение</t>
  </si>
  <si>
    <t>Муниципальное образование город Волхов</t>
  </si>
  <si>
    <t>Нераспределенные средства</t>
  </si>
  <si>
    <t>Итого:</t>
  </si>
  <si>
    <t xml:space="preserve">- расходы за счет резервного фонда Правительства Ленинградской </t>
  </si>
  <si>
    <t>2 02 35303 05 0000 150</t>
  </si>
  <si>
    <t>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</si>
  <si>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</si>
  <si>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</si>
  <si>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R3040</t>
  </si>
  <si>
    <t>МОБУ "Волховская средняя общеобразовательная школа №7"</t>
  </si>
  <si>
    <t>от 28 октября 2020 года №50</t>
  </si>
  <si>
    <t>от  28 октября 2020 года №50</t>
  </si>
  <si>
    <t>Ремонтные работы, разработка проектно-сметной документации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</si>
</sst>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_-* #,##0.0_р_._-;\-* #,##0.0_р_._-;_-* &quot;-&quot;??_р_._-;_-@_-"/>
    <numFmt numFmtId="176" formatCode="#,##0.00&quot;р.&quot;"/>
    <numFmt numFmtId="177" formatCode="#,##0.0_ ;\-#,##0.0\ "/>
    <numFmt numFmtId="178" formatCode="#,##0.0000"/>
    <numFmt numFmtId="179" formatCode="#,##0.00000000"/>
    <numFmt numFmtId="180" formatCode="#,##0.00000"/>
    <numFmt numFmtId="181" formatCode="#,##0.00_р_."/>
    <numFmt numFmtId="182" formatCode="_-* #,##0.0_р_._-;\-* #,##0.0_р_._-;_-* &quot;-&quot;?_р_._-;_-@_-"/>
    <numFmt numFmtId="183" formatCode="[$-FC19]d\ mmmm\ yyyy\ &quot;г.&quot;"/>
    <numFmt numFmtId="184" formatCode="#,##0.0000000"/>
    <numFmt numFmtId="185" formatCode="#,##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1"/>
      <color indexed="8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sz val="11"/>
      <color indexed="8"/>
      <name val="Times New Roman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  <font>
      <b/>
      <sz val="11"/>
      <name val="Arial Cyr"/>
      <family val="0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Arial Cyr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Arial Cyr"/>
      <family val="0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/>
      <bottom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57">
    <xf numFmtId="0" fontId="0" fillId="0" borderId="0" xfId="0" applyFont="1" applyAlignment="1">
      <alignment/>
    </xf>
    <xf numFmtId="0" fontId="3" fillId="0" borderId="0" xfId="53" applyFont="1" applyFill="1" applyAlignment="1">
      <alignment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" fillId="0" borderId="10" xfId="53" applyFont="1" applyFill="1" applyBorder="1" applyAlignment="1">
      <alignment vertical="center" wrapText="1"/>
      <protection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0" xfId="53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/>
    </xf>
    <xf numFmtId="172" fontId="3" fillId="0" borderId="0" xfId="53" applyNumberFormat="1" applyFont="1" applyFill="1" applyAlignment="1">
      <alignment vertical="center"/>
      <protection/>
    </xf>
    <xf numFmtId="172" fontId="3" fillId="0" borderId="10" xfId="53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 wrapText="1"/>
    </xf>
    <xf numFmtId="0" fontId="13" fillId="0" borderId="0" xfId="53" applyFont="1" applyFill="1" applyAlignment="1">
      <alignment vertical="center"/>
      <protection/>
    </xf>
    <xf numFmtId="0" fontId="5" fillId="0" borderId="0" xfId="53" applyFont="1" applyFill="1" applyAlignment="1">
      <alignment vertical="center"/>
      <protection/>
    </xf>
    <xf numFmtId="0" fontId="7" fillId="0" borderId="10" xfId="53" applyFont="1" applyFill="1" applyBorder="1" applyAlignment="1">
      <alignment vertical="center" wrapText="1"/>
      <protection/>
    </xf>
    <xf numFmtId="0" fontId="15" fillId="0" borderId="0" xfId="53" applyFont="1" applyFill="1" applyBorder="1" applyAlignment="1">
      <alignment vertical="center"/>
      <protection/>
    </xf>
    <xf numFmtId="172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49" fontId="10" fillId="0" borderId="10" xfId="53" applyNumberFormat="1" applyFont="1" applyFill="1" applyBorder="1" applyAlignment="1">
      <alignment horizontal="center" vertical="center"/>
      <protection/>
    </xf>
    <xf numFmtId="49" fontId="10" fillId="0" borderId="10" xfId="0" applyNumberFormat="1" applyFont="1" applyFill="1" applyBorder="1" applyAlignment="1">
      <alignment horizontal="left" vertical="center" wrapText="1"/>
    </xf>
    <xf numFmtId="172" fontId="12" fillId="0" borderId="10" xfId="53" applyNumberFormat="1" applyFont="1" applyFill="1" applyBorder="1" applyAlignment="1">
      <alignment horizontal="center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2" fontId="14" fillId="0" borderId="0" xfId="0" applyNumberFormat="1" applyFont="1" applyFill="1" applyAlignment="1">
      <alignment horizontal="right" vertical="center"/>
    </xf>
    <xf numFmtId="0" fontId="10" fillId="0" borderId="0" xfId="53" applyFont="1" applyFill="1" applyAlignment="1">
      <alignment vertical="center"/>
      <protection/>
    </xf>
    <xf numFmtId="172" fontId="7" fillId="0" borderId="10" xfId="53" applyNumberFormat="1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>
      <alignment horizontal="center" vertical="center"/>
      <protection/>
    </xf>
    <xf numFmtId="49" fontId="12" fillId="0" borderId="10" xfId="53" applyNumberFormat="1" applyFont="1" applyFill="1" applyBorder="1" applyAlignment="1">
      <alignment vertical="center" wrapText="1"/>
      <protection/>
    </xf>
    <xf numFmtId="172" fontId="12" fillId="0" borderId="10" xfId="53" applyNumberFormat="1" applyFont="1" applyFill="1" applyBorder="1" applyAlignment="1">
      <alignment horizontal="center" vertical="center"/>
      <protection/>
    </xf>
    <xf numFmtId="0" fontId="12" fillId="0" borderId="11" xfId="53" applyFont="1" applyFill="1" applyBorder="1" applyAlignment="1">
      <alignment horizontal="center" vertical="center"/>
      <protection/>
    </xf>
    <xf numFmtId="0" fontId="3" fillId="0" borderId="0" xfId="53" applyFont="1" applyFill="1" applyAlignment="1">
      <alignment horizontal="right" vertical="center"/>
      <protection/>
    </xf>
    <xf numFmtId="172" fontId="6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72" fontId="3" fillId="0" borderId="0" xfId="53" applyNumberFormat="1" applyFont="1" applyFill="1" applyAlignment="1">
      <alignment horizontal="right" vertical="center"/>
      <protection/>
    </xf>
    <xf numFmtId="172" fontId="12" fillId="0" borderId="10" xfId="69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/>
    </xf>
    <xf numFmtId="173" fontId="3" fillId="0" borderId="0" xfId="53" applyNumberFormat="1" applyFont="1" applyFill="1" applyAlignment="1">
      <alignment vertical="center"/>
      <protection/>
    </xf>
    <xf numFmtId="0" fontId="15" fillId="0" borderId="0" xfId="53" applyFont="1" applyFill="1" applyAlignment="1">
      <alignment vertical="center"/>
      <protection/>
    </xf>
    <xf numFmtId="0" fontId="67" fillId="0" borderId="0" xfId="0" applyFont="1" applyFill="1" applyAlignment="1">
      <alignment vertical="center"/>
    </xf>
    <xf numFmtId="0" fontId="4" fillId="0" borderId="0" xfId="53" applyFont="1" applyFill="1" applyAlignment="1">
      <alignment vertical="center"/>
      <protection/>
    </xf>
    <xf numFmtId="172" fontId="4" fillId="0" borderId="0" xfId="53" applyNumberFormat="1" applyFont="1" applyFill="1" applyAlignment="1">
      <alignment vertical="center"/>
      <protection/>
    </xf>
    <xf numFmtId="0" fontId="2" fillId="0" borderId="0" xfId="53" applyFill="1" applyAlignment="1">
      <alignment vertical="center"/>
      <protection/>
    </xf>
    <xf numFmtId="0" fontId="68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horizontal="center" vertical="center"/>
      <protection/>
    </xf>
    <xf numFmtId="0" fontId="15" fillId="0" borderId="10" xfId="53" applyFont="1" applyFill="1" applyBorder="1" applyAlignment="1">
      <alignment vertical="center"/>
      <protection/>
    </xf>
    <xf numFmtId="0" fontId="2" fillId="0" borderId="10" xfId="53" applyFont="1" applyFill="1" applyBorder="1" applyAlignment="1">
      <alignment vertical="center"/>
      <protection/>
    </xf>
    <xf numFmtId="172" fontId="15" fillId="0" borderId="0" xfId="53" applyNumberFormat="1" applyFont="1" applyFill="1" applyBorder="1" applyAlignment="1">
      <alignment horizontal="center" vertical="center"/>
      <protection/>
    </xf>
    <xf numFmtId="0" fontId="2" fillId="0" borderId="0" xfId="53" applyFill="1" applyBorder="1" applyAlignment="1">
      <alignment vertical="center"/>
      <protection/>
    </xf>
    <xf numFmtId="172" fontId="2" fillId="0" borderId="0" xfId="53" applyNumberForma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 vertical="center"/>
      <protection/>
    </xf>
    <xf numFmtId="0" fontId="16" fillId="0" borderId="0" xfId="53" applyFont="1" applyFill="1" applyBorder="1" applyAlignment="1">
      <alignment vertical="center"/>
      <protection/>
    </xf>
    <xf numFmtId="172" fontId="16" fillId="0" borderId="0" xfId="53" applyNumberFormat="1" applyFont="1" applyFill="1" applyBorder="1" applyAlignment="1">
      <alignment horizontal="center" vertical="center"/>
      <protection/>
    </xf>
    <xf numFmtId="172" fontId="2" fillId="0" borderId="0" xfId="53" applyNumberFormat="1" applyFill="1" applyAlignment="1">
      <alignment vertical="center"/>
      <protection/>
    </xf>
    <xf numFmtId="172" fontId="10" fillId="0" borderId="10" xfId="68" applyNumberFormat="1" applyFont="1" applyFill="1" applyBorder="1" applyAlignment="1">
      <alignment horizontal="center" vertical="center"/>
    </xf>
    <xf numFmtId="172" fontId="12" fillId="0" borderId="10" xfId="68" applyNumberFormat="1" applyFont="1" applyFill="1" applyBorder="1" applyAlignment="1">
      <alignment horizontal="center" vertical="center"/>
    </xf>
    <xf numFmtId="172" fontId="12" fillId="0" borderId="12" xfId="53" applyNumberFormat="1" applyFont="1" applyFill="1" applyBorder="1" applyAlignment="1">
      <alignment horizontal="center" vertical="center" wrapText="1"/>
      <protection/>
    </xf>
    <xf numFmtId="172" fontId="12" fillId="0" borderId="13" xfId="53" applyNumberFormat="1" applyFont="1" applyFill="1" applyBorder="1" applyAlignment="1">
      <alignment vertical="center" wrapText="1"/>
      <protection/>
    </xf>
    <xf numFmtId="0" fontId="69" fillId="0" borderId="10" xfId="53" applyFont="1" applyFill="1" applyBorder="1" applyAlignment="1">
      <alignment vertical="center"/>
      <protection/>
    </xf>
    <xf numFmtId="0" fontId="70" fillId="0" borderId="10" xfId="53" applyFont="1" applyFill="1" applyBorder="1" applyAlignment="1">
      <alignment vertical="center" wrapText="1"/>
      <protection/>
    </xf>
    <xf numFmtId="0" fontId="71" fillId="0" borderId="0" xfId="53" applyFont="1" applyFill="1" applyAlignment="1">
      <alignment vertical="center"/>
      <protection/>
    </xf>
    <xf numFmtId="186" fontId="70" fillId="0" borderId="10" xfId="53" applyNumberFormat="1" applyFont="1" applyFill="1" applyBorder="1" applyAlignment="1">
      <alignment horizontal="center" vertical="center"/>
      <protection/>
    </xf>
    <xf numFmtId="172" fontId="7" fillId="0" borderId="0" xfId="0" applyNumberFormat="1" applyFont="1" applyFill="1" applyAlignment="1">
      <alignment horizontal="left"/>
    </xf>
    <xf numFmtId="0" fontId="12" fillId="0" borderId="10" xfId="53" applyFont="1" applyFill="1" applyBorder="1" applyAlignment="1">
      <alignment horizontal="center" vertical="center" wrapText="1"/>
      <protection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vertical="center"/>
      <protection/>
    </xf>
    <xf numFmtId="0" fontId="10" fillId="0" borderId="10" xfId="53" applyFont="1" applyFill="1" applyBorder="1" applyAlignment="1">
      <alignment vertical="center" wrapText="1"/>
      <protection/>
    </xf>
    <xf numFmtId="0" fontId="10" fillId="0" borderId="0" xfId="55" applyFont="1" applyFill="1" applyAlignment="1">
      <alignment vertical="center"/>
      <protection/>
    </xf>
    <xf numFmtId="0" fontId="12" fillId="0" borderId="10" xfId="58" applyFont="1" applyFill="1" applyBorder="1" applyAlignment="1">
      <alignment horizontal="center" vertical="center" wrapText="1"/>
      <protection/>
    </xf>
    <xf numFmtId="0" fontId="10" fillId="0" borderId="0" xfId="55" applyFont="1" applyFill="1">
      <alignment/>
      <protection/>
    </xf>
    <xf numFmtId="172" fontId="10" fillId="0" borderId="10" xfId="69" applyNumberFormat="1" applyFont="1" applyFill="1" applyBorder="1" applyAlignment="1">
      <alignment horizontal="center" vertical="center" wrapText="1"/>
    </xf>
    <xf numFmtId="172" fontId="10" fillId="0" borderId="10" xfId="55" applyNumberFormat="1" applyFont="1" applyFill="1" applyBorder="1" applyAlignment="1">
      <alignment horizontal="center" vertical="center"/>
      <protection/>
    </xf>
    <xf numFmtId="0" fontId="12" fillId="0" borderId="10" xfId="55" applyFont="1" applyFill="1" applyBorder="1" applyAlignment="1">
      <alignment horizontal="left" vertical="top" wrapText="1"/>
      <protection/>
    </xf>
    <xf numFmtId="0" fontId="12" fillId="0" borderId="0" xfId="55" applyFont="1" applyFill="1" applyAlignment="1">
      <alignment horizontal="left"/>
      <protection/>
    </xf>
    <xf numFmtId="176" fontId="10" fillId="0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left" vertical="top" wrapText="1"/>
    </xf>
    <xf numFmtId="11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2" fillId="0" borderId="0" xfId="55" applyFont="1" applyFill="1" applyAlignment="1">
      <alignment vertical="center"/>
      <protection/>
    </xf>
    <xf numFmtId="49" fontId="12" fillId="0" borderId="10" xfId="55" applyNumberFormat="1" applyFont="1" applyFill="1" applyBorder="1" applyAlignment="1">
      <alignment vertical="top" wrapText="1"/>
      <protection/>
    </xf>
    <xf numFmtId="172" fontId="12" fillId="0" borderId="10" xfId="69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0" fillId="0" borderId="0" xfId="53" applyFont="1" applyFill="1" applyAlignment="1">
      <alignment horizontal="right"/>
      <protection/>
    </xf>
    <xf numFmtId="0" fontId="12" fillId="0" borderId="10" xfId="53" applyFont="1" applyFill="1" applyBorder="1" applyAlignment="1">
      <alignment vertical="center"/>
      <protection/>
    </xf>
    <xf numFmtId="0" fontId="10" fillId="0" borderId="10" xfId="53" applyFont="1" applyFill="1" applyBorder="1" applyAlignment="1">
      <alignment horizontal="left" vertical="center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0" fontId="17" fillId="0" borderId="10" xfId="53" applyFont="1" applyFill="1" applyBorder="1" applyAlignment="1">
      <alignment horizontal="center" vertical="center" wrapText="1"/>
      <protection/>
    </xf>
    <xf numFmtId="172" fontId="14" fillId="0" borderId="14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1" xfId="53" applyNumberFormat="1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vertical="center"/>
    </xf>
    <xf numFmtId="176" fontId="12" fillId="0" borderId="10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left" vertical="center" wrapText="1"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11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vertical="center" wrapText="1"/>
    </xf>
    <xf numFmtId="11" fontId="12" fillId="0" borderId="10" xfId="0" applyNumberFormat="1" applyFont="1" applyFill="1" applyBorder="1" applyAlignment="1">
      <alignment horizontal="left" vertical="center" wrapText="1"/>
    </xf>
    <xf numFmtId="171" fontId="12" fillId="0" borderId="10" xfId="69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left" vertical="center" wrapText="1"/>
    </xf>
    <xf numFmtId="171" fontId="10" fillId="0" borderId="10" xfId="69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top" wrapText="1"/>
    </xf>
    <xf numFmtId="11" fontId="10" fillId="0" borderId="10" xfId="0" applyNumberFormat="1" applyFont="1" applyFill="1" applyBorder="1" applyAlignment="1">
      <alignment vertical="top" wrapText="1"/>
    </xf>
    <xf numFmtId="174" fontId="10" fillId="0" borderId="10" xfId="0" applyNumberFormat="1" applyFont="1" applyFill="1" applyBorder="1" applyAlignment="1">
      <alignment horizontal="left" vertical="center" wrapText="1"/>
    </xf>
    <xf numFmtId="0" fontId="10" fillId="0" borderId="10" xfId="53" applyNumberFormat="1" applyFont="1" applyFill="1" applyBorder="1" applyAlignment="1">
      <alignment horizontal="center" vertical="center" wrapText="1"/>
      <protection/>
    </xf>
    <xf numFmtId="176" fontId="10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53" applyFont="1" applyFill="1" applyBorder="1" applyAlignment="1">
      <alignment horizontal="left" vertical="center" wrapText="1"/>
      <protection/>
    </xf>
    <xf numFmtId="172" fontId="10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/>
    </xf>
    <xf numFmtId="172" fontId="12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176" fontId="12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176" fontId="10" fillId="0" borderId="10" xfId="0" applyNumberFormat="1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center"/>
    </xf>
    <xf numFmtId="0" fontId="10" fillId="0" borderId="15" xfId="53" applyFont="1" applyFill="1" applyBorder="1" applyAlignment="1">
      <alignment horizontal="left" vertical="center"/>
      <protection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left" vertical="center" wrapText="1"/>
    </xf>
    <xf numFmtId="0" fontId="10" fillId="0" borderId="17" xfId="53" applyFont="1" applyFill="1" applyBorder="1" applyAlignment="1">
      <alignment horizontal="left" vertical="center"/>
      <protection/>
    </xf>
    <xf numFmtId="173" fontId="10" fillId="0" borderId="10" xfId="0" applyNumberFormat="1" applyFont="1" applyFill="1" applyBorder="1" applyAlignment="1">
      <alignment horizontal="center" vertical="center"/>
    </xf>
    <xf numFmtId="0" fontId="10" fillId="0" borderId="18" xfId="53" applyFont="1" applyFill="1" applyBorder="1" applyAlignment="1">
      <alignment horizontal="left" vertical="center"/>
      <protection/>
    </xf>
    <xf numFmtId="11" fontId="10" fillId="0" borderId="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left" vertical="top" wrapText="1"/>
    </xf>
    <xf numFmtId="49" fontId="12" fillId="0" borderId="10" xfId="53" applyNumberFormat="1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>
      <alignment vertical="top" wrapText="1"/>
      <protection/>
    </xf>
    <xf numFmtId="0" fontId="10" fillId="0" borderId="0" xfId="53" applyFont="1" applyFill="1" applyAlignment="1">
      <alignment horizontal="right" vertical="center"/>
      <protection/>
    </xf>
    <xf numFmtId="172" fontId="10" fillId="0" borderId="0" xfId="53" applyNumberFormat="1" applyFont="1" applyFill="1" applyAlignment="1">
      <alignment vertical="center"/>
      <protection/>
    </xf>
    <xf numFmtId="0" fontId="20" fillId="0" borderId="0" xfId="53" applyFont="1" applyFill="1" applyAlignment="1">
      <alignment vertical="center"/>
      <protection/>
    </xf>
    <xf numFmtId="0" fontId="12" fillId="0" borderId="0" xfId="53" applyFont="1" applyFill="1" applyAlignment="1">
      <alignment horizontal="center" vertical="center" wrapText="1"/>
      <protection/>
    </xf>
    <xf numFmtId="0" fontId="18" fillId="0" borderId="0" xfId="53" applyFont="1" applyFill="1" applyAlignment="1">
      <alignment vertical="center"/>
      <protection/>
    </xf>
    <xf numFmtId="0" fontId="12" fillId="0" borderId="10" xfId="53" applyFont="1" applyFill="1" applyBorder="1" applyAlignment="1">
      <alignment vertical="center" wrapText="1"/>
      <protection/>
    </xf>
    <xf numFmtId="172" fontId="10" fillId="0" borderId="10" xfId="53" applyNumberFormat="1" applyFont="1" applyFill="1" applyBorder="1" applyAlignment="1">
      <alignment horizontal="center" vertical="center"/>
      <protection/>
    </xf>
    <xf numFmtId="172" fontId="18" fillId="0" borderId="0" xfId="53" applyNumberFormat="1" applyFont="1" applyFill="1" applyAlignment="1">
      <alignment vertical="center"/>
      <protection/>
    </xf>
    <xf numFmtId="0" fontId="10" fillId="0" borderId="0" xfId="53" applyFont="1" applyFill="1" applyAlignment="1">
      <alignment vertical="center" wrapText="1"/>
      <protection/>
    </xf>
    <xf numFmtId="172" fontId="10" fillId="0" borderId="0" xfId="53" applyNumberFormat="1" applyFont="1" applyFill="1" applyAlignment="1">
      <alignment horizontal="right" vertical="center"/>
      <protection/>
    </xf>
    <xf numFmtId="0" fontId="10" fillId="0" borderId="0" xfId="53" applyFont="1" applyFill="1" applyAlignment="1">
      <alignment horizontal="center" vertical="center"/>
      <protection/>
    </xf>
    <xf numFmtId="49" fontId="10" fillId="0" borderId="0" xfId="53" applyNumberFormat="1" applyFont="1" applyFill="1" applyAlignment="1">
      <alignment vertical="center" wrapText="1"/>
      <protection/>
    </xf>
    <xf numFmtId="49" fontId="10" fillId="0" borderId="10" xfId="53" applyNumberFormat="1" applyFont="1" applyFill="1" applyBorder="1" applyAlignment="1">
      <alignment vertical="center" wrapText="1"/>
      <protection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4" fillId="0" borderId="0" xfId="53" applyFont="1" applyFill="1" applyAlignment="1">
      <alignment vertical="center"/>
      <protection/>
    </xf>
    <xf numFmtId="0" fontId="0" fillId="0" borderId="0" xfId="0" applyFont="1" applyFill="1" applyAlignment="1">
      <alignment vertical="center" wrapText="1"/>
    </xf>
    <xf numFmtId="0" fontId="14" fillId="0" borderId="0" xfId="53" applyFont="1" applyFill="1" applyAlignment="1">
      <alignment horizontal="center" vertical="center"/>
      <protection/>
    </xf>
    <xf numFmtId="49" fontId="14" fillId="0" borderId="0" xfId="53" applyNumberFormat="1" applyFont="1" applyFill="1" applyAlignment="1">
      <alignment vertical="center" wrapText="1"/>
      <protection/>
    </xf>
    <xf numFmtId="0" fontId="17" fillId="0" borderId="0" xfId="53" applyFont="1" applyFill="1" applyAlignment="1">
      <alignment vertical="center"/>
      <protection/>
    </xf>
    <xf numFmtId="172" fontId="17" fillId="0" borderId="10" xfId="53" applyNumberFormat="1" applyFont="1" applyFill="1" applyBorder="1" applyAlignment="1">
      <alignment horizontal="center" vertical="center"/>
      <protection/>
    </xf>
    <xf numFmtId="0" fontId="17" fillId="0" borderId="10" xfId="53" applyFont="1" applyFill="1" applyBorder="1" applyAlignment="1">
      <alignment horizontal="center" vertical="center"/>
      <protection/>
    </xf>
    <xf numFmtId="49" fontId="17" fillId="0" borderId="10" xfId="53" applyNumberFormat="1" applyFont="1" applyFill="1" applyBorder="1" applyAlignment="1">
      <alignment vertical="center" wrapText="1"/>
      <protection/>
    </xf>
    <xf numFmtId="0" fontId="14" fillId="0" borderId="10" xfId="53" applyFont="1" applyFill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vertical="center" wrapText="1"/>
      <protection/>
    </xf>
    <xf numFmtId="172" fontId="14" fillId="0" borderId="10" xfId="53" applyNumberFormat="1" applyFont="1" applyFill="1" applyBorder="1" applyAlignment="1">
      <alignment horizontal="center" vertical="center"/>
      <protection/>
    </xf>
    <xf numFmtId="0" fontId="14" fillId="0" borderId="10" xfId="53" applyFont="1" applyFill="1" applyBorder="1" applyAlignment="1">
      <alignment horizontal="left" vertical="top" wrapText="1"/>
      <protection/>
    </xf>
    <xf numFmtId="0" fontId="14" fillId="0" borderId="11" xfId="53" applyFont="1" applyFill="1" applyBorder="1" applyAlignment="1">
      <alignment horizontal="center" vertical="center"/>
      <protection/>
    </xf>
    <xf numFmtId="0" fontId="14" fillId="0" borderId="10" xfId="53" applyFont="1" applyFill="1" applyBorder="1" applyAlignment="1">
      <alignment horizontal="left" vertical="center" wrapText="1"/>
      <protection/>
    </xf>
    <xf numFmtId="173" fontId="14" fillId="0" borderId="10" xfId="53" applyNumberFormat="1" applyFont="1" applyFill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horizontal="left" vertical="center" wrapText="1"/>
      <protection/>
    </xf>
    <xf numFmtId="0" fontId="14" fillId="0" borderId="10" xfId="53" applyFont="1" applyFill="1" applyBorder="1" applyAlignment="1">
      <alignment vertical="center" wrapText="1"/>
      <protection/>
    </xf>
    <xf numFmtId="174" fontId="14" fillId="0" borderId="10" xfId="53" applyNumberFormat="1" applyFont="1" applyFill="1" applyBorder="1" applyAlignment="1">
      <alignment horizontal="left" vertical="center" wrapText="1"/>
      <protection/>
    </xf>
    <xf numFmtId="0" fontId="72" fillId="0" borderId="10" xfId="0" applyFont="1" applyFill="1" applyBorder="1" applyAlignment="1">
      <alignment vertical="center"/>
    </xf>
    <xf numFmtId="2" fontId="14" fillId="0" borderId="10" xfId="53" applyNumberFormat="1" applyFont="1" applyFill="1" applyBorder="1" applyAlignment="1">
      <alignment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49" fontId="10" fillId="0" borderId="0" xfId="53" applyNumberFormat="1" applyFont="1" applyFill="1" applyBorder="1" applyAlignment="1">
      <alignment vertical="center" wrapText="1"/>
      <protection/>
    </xf>
    <xf numFmtId="172" fontId="14" fillId="0" borderId="0" xfId="53" applyNumberFormat="1" applyFont="1" applyFill="1" applyBorder="1" applyAlignment="1">
      <alignment horizontal="center" vertical="center"/>
      <protection/>
    </xf>
    <xf numFmtId="49" fontId="14" fillId="0" borderId="0" xfId="53" applyNumberFormat="1" applyFont="1" applyFill="1" applyAlignment="1">
      <alignment horizontal="right" vertical="center" wrapText="1"/>
      <protection/>
    </xf>
    <xf numFmtId="0" fontId="14" fillId="0" borderId="0" xfId="53" applyFont="1" applyFill="1" applyAlignment="1">
      <alignment vertical="center" wrapText="1"/>
      <protection/>
    </xf>
    <xf numFmtId="172" fontId="10" fillId="0" borderId="0" xfId="0" applyNumberFormat="1" applyFont="1" applyFill="1" applyAlignment="1">
      <alignment horizontal="center" vertical="center"/>
    </xf>
    <xf numFmtId="172" fontId="0" fillId="0" borderId="0" xfId="0" applyNumberFormat="1" applyFont="1" applyFill="1" applyAlignment="1">
      <alignment vertical="center" wrapText="1"/>
    </xf>
    <xf numFmtId="172" fontId="14" fillId="0" borderId="0" xfId="53" applyNumberFormat="1" applyFont="1" applyFill="1" applyAlignment="1">
      <alignment horizontal="center" vertical="center"/>
      <protection/>
    </xf>
    <xf numFmtId="172" fontId="14" fillId="0" borderId="10" xfId="53" applyNumberFormat="1" applyFont="1" applyFill="1" applyBorder="1" applyAlignment="1">
      <alignment vertical="center"/>
      <protection/>
    </xf>
    <xf numFmtId="174" fontId="14" fillId="0" borderId="10" xfId="53" applyNumberFormat="1" applyFont="1" applyFill="1" applyBorder="1" applyAlignment="1">
      <alignment vertical="center" wrapText="1"/>
      <protection/>
    </xf>
    <xf numFmtId="174" fontId="10" fillId="0" borderId="10" xfId="53" applyNumberFormat="1" applyFont="1" applyFill="1" applyBorder="1" applyAlignment="1">
      <alignment vertical="center" wrapText="1"/>
      <protection/>
    </xf>
    <xf numFmtId="172" fontId="17" fillId="0" borderId="10" xfId="53" applyNumberFormat="1" applyFont="1" applyFill="1" applyBorder="1" applyAlignment="1">
      <alignment vertical="center"/>
      <protection/>
    </xf>
    <xf numFmtId="0" fontId="14" fillId="0" borderId="10" xfId="53" applyFont="1" applyFill="1" applyBorder="1" applyAlignment="1">
      <alignment vertical="center"/>
      <protection/>
    </xf>
    <xf numFmtId="0" fontId="0" fillId="0" borderId="0" xfId="0" applyFont="1" applyFill="1" applyAlignment="1">
      <alignment horizontal="center" wrapText="1"/>
    </xf>
    <xf numFmtId="172" fontId="17" fillId="0" borderId="10" xfId="0" applyNumberFormat="1" applyFont="1" applyFill="1" applyBorder="1" applyAlignment="1">
      <alignment horizontal="center" vertical="center" wrapText="1"/>
    </xf>
    <xf numFmtId="172" fontId="17" fillId="0" borderId="10" xfId="0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top"/>
    </xf>
    <xf numFmtId="0" fontId="72" fillId="0" borderId="10" xfId="0" applyFont="1" applyFill="1" applyBorder="1" applyAlignment="1">
      <alignment horizontal="justify" vertical="top"/>
    </xf>
    <xf numFmtId="172" fontId="10" fillId="0" borderId="0" xfId="57" applyNumberFormat="1" applyFont="1" applyFill="1" applyAlignment="1">
      <alignment horizontal="right" vertical="center"/>
      <protection/>
    </xf>
    <xf numFmtId="0" fontId="10" fillId="0" borderId="0" xfId="0" applyFont="1" applyFill="1" applyAlignment="1">
      <alignment horizontal="right"/>
    </xf>
    <xf numFmtId="172" fontId="10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 vertical="center"/>
    </xf>
    <xf numFmtId="172" fontId="0" fillId="0" borderId="0" xfId="0" applyNumberFormat="1" applyFont="1" applyFill="1" applyAlignment="1">
      <alignment vertical="center"/>
    </xf>
    <xf numFmtId="172" fontId="10" fillId="0" borderId="0" xfId="53" applyNumberFormat="1" applyFont="1" applyFill="1" applyAlignment="1">
      <alignment horizontal="center" vertical="center"/>
      <protection/>
    </xf>
    <xf numFmtId="0" fontId="12" fillId="0" borderId="10" xfId="53" applyFont="1" applyFill="1" applyBorder="1" applyAlignment="1">
      <alignment horizontal="left" vertical="center"/>
      <protection/>
    </xf>
    <xf numFmtId="172" fontId="12" fillId="0" borderId="10" xfId="53" applyNumberFormat="1" applyFont="1" applyFill="1" applyBorder="1" applyAlignment="1">
      <alignment vertical="center"/>
      <protection/>
    </xf>
    <xf numFmtId="172" fontId="10" fillId="0" borderId="10" xfId="53" applyNumberFormat="1" applyFont="1" applyFill="1" applyBorder="1" applyAlignment="1">
      <alignment vertical="center"/>
      <protection/>
    </xf>
    <xf numFmtId="172" fontId="10" fillId="0" borderId="0" xfId="68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8" fillId="0" borderId="0" xfId="53" applyFont="1" applyFill="1" applyAlignment="1">
      <alignment horizontal="center" vertical="center"/>
      <protection/>
    </xf>
    <xf numFmtId="0" fontId="18" fillId="0" borderId="0" xfId="53" applyFont="1" applyFill="1" applyAlignment="1">
      <alignment vertical="center" wrapText="1"/>
      <protection/>
    </xf>
    <xf numFmtId="172" fontId="17" fillId="0" borderId="0" xfId="68" applyNumberFormat="1" applyFont="1" applyFill="1" applyAlignment="1">
      <alignment vertical="center"/>
    </xf>
    <xf numFmtId="0" fontId="10" fillId="0" borderId="0" xfId="53" applyFont="1" applyFill="1" applyBorder="1" applyAlignment="1">
      <alignment horizontal="center" vertical="center"/>
      <protection/>
    </xf>
    <xf numFmtId="0" fontId="10" fillId="0" borderId="0" xfId="53" applyFont="1" applyFill="1" applyBorder="1" applyAlignment="1">
      <alignment vertical="center" wrapText="1"/>
      <protection/>
    </xf>
    <xf numFmtId="0" fontId="10" fillId="0" borderId="0" xfId="53" applyFont="1" applyFill="1" applyBorder="1" applyAlignment="1">
      <alignment vertical="center"/>
      <protection/>
    </xf>
    <xf numFmtId="172" fontId="18" fillId="0" borderId="0" xfId="68" applyNumberFormat="1" applyFont="1" applyFill="1" applyBorder="1" applyAlignment="1">
      <alignment horizontal="center" vertical="center"/>
    </xf>
    <xf numFmtId="0" fontId="10" fillId="0" borderId="10" xfId="53" applyFont="1" applyFill="1" applyBorder="1" applyAlignment="1">
      <alignment horizontal="center" vertical="center" wrapText="1"/>
      <protection/>
    </xf>
    <xf numFmtId="0" fontId="17" fillId="0" borderId="13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7" fillId="0" borderId="10" xfId="53" applyFont="1" applyFill="1" applyBorder="1" applyAlignment="1">
      <alignment horizontal="left" vertical="top" wrapText="1"/>
      <protection/>
    </xf>
    <xf numFmtId="172" fontId="17" fillId="0" borderId="10" xfId="53" applyNumberFormat="1" applyFont="1" applyFill="1" applyBorder="1" applyAlignment="1">
      <alignment horizontal="center" vertical="top" wrapText="1"/>
      <protection/>
    </xf>
    <xf numFmtId="0" fontId="10" fillId="0" borderId="10" xfId="53" applyFont="1" applyFill="1" applyBorder="1" applyAlignment="1">
      <alignment vertical="top" wrapText="1"/>
      <protection/>
    </xf>
    <xf numFmtId="0" fontId="10" fillId="0" borderId="10" xfId="53" applyFont="1" applyFill="1" applyBorder="1" applyAlignment="1">
      <alignment horizontal="center" vertical="top" wrapText="1"/>
      <protection/>
    </xf>
    <xf numFmtId="172" fontId="14" fillId="0" borderId="13" xfId="53" applyNumberFormat="1" applyFont="1" applyFill="1" applyBorder="1" applyAlignment="1">
      <alignment horizontal="center" vertical="center" wrapText="1"/>
      <protection/>
    </xf>
    <xf numFmtId="172" fontId="10" fillId="0" borderId="13" xfId="53" applyNumberFormat="1" applyFont="1" applyFill="1" applyBorder="1" applyAlignment="1">
      <alignment horizontal="center" vertical="center"/>
      <protection/>
    </xf>
    <xf numFmtId="172" fontId="10" fillId="0" borderId="13" xfId="53" applyNumberFormat="1" applyFont="1" applyFill="1" applyBorder="1" applyAlignment="1">
      <alignment horizontal="center" vertical="top"/>
      <protection/>
    </xf>
    <xf numFmtId="0" fontId="10" fillId="0" borderId="11" xfId="53" applyFont="1" applyFill="1" applyBorder="1" applyAlignment="1">
      <alignment vertical="top" wrapText="1"/>
      <protection/>
    </xf>
    <xf numFmtId="0" fontId="17" fillId="0" borderId="10" xfId="53" applyFont="1" applyFill="1" applyBorder="1" applyAlignment="1">
      <alignment vertical="top" wrapText="1"/>
      <protection/>
    </xf>
    <xf numFmtId="0" fontId="12" fillId="0" borderId="10" xfId="53" applyFont="1" applyFill="1" applyBorder="1" applyAlignment="1">
      <alignment horizontal="center" vertical="top" wrapText="1"/>
      <protection/>
    </xf>
    <xf numFmtId="172" fontId="12" fillId="0" borderId="10" xfId="53" applyNumberFormat="1" applyFont="1" applyFill="1" applyBorder="1" applyAlignment="1">
      <alignment horizontal="center" vertical="top"/>
      <protection/>
    </xf>
    <xf numFmtId="0" fontId="22" fillId="0" borderId="10" xfId="53" applyFont="1" applyFill="1" applyBorder="1" applyAlignment="1">
      <alignment horizontal="center" vertical="top" wrapText="1"/>
      <protection/>
    </xf>
    <xf numFmtId="172" fontId="10" fillId="0" borderId="10" xfId="53" applyNumberFormat="1" applyFont="1" applyFill="1" applyBorder="1" applyAlignment="1">
      <alignment horizontal="center" vertical="center" wrapText="1"/>
      <protection/>
    </xf>
    <xf numFmtId="172" fontId="10" fillId="0" borderId="13" xfId="53" applyNumberFormat="1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top" wrapText="1"/>
      <protection/>
    </xf>
    <xf numFmtId="0" fontId="14" fillId="0" borderId="10" xfId="53" applyFont="1" applyFill="1" applyBorder="1" applyAlignment="1">
      <alignment vertical="top" wrapText="1"/>
      <protection/>
    </xf>
    <xf numFmtId="172" fontId="12" fillId="0" borderId="13" xfId="68" applyNumberFormat="1" applyFont="1" applyFill="1" applyBorder="1" applyAlignment="1">
      <alignment horizontal="center" vertical="top"/>
    </xf>
    <xf numFmtId="0" fontId="10" fillId="0" borderId="13" xfId="53" applyFont="1" applyFill="1" applyBorder="1" applyAlignment="1">
      <alignment horizontal="center" vertical="center" wrapText="1"/>
      <protection/>
    </xf>
    <xf numFmtId="0" fontId="12" fillId="0" borderId="19" xfId="53" applyFont="1" applyFill="1" applyBorder="1" applyAlignment="1">
      <alignment vertical="top" wrapText="1"/>
      <protection/>
    </xf>
    <xf numFmtId="0" fontId="10" fillId="0" borderId="19" xfId="53" applyFont="1" applyFill="1" applyBorder="1" applyAlignment="1">
      <alignment horizontal="center" vertical="top" wrapText="1"/>
      <protection/>
    </xf>
    <xf numFmtId="172" fontId="10" fillId="0" borderId="10" xfId="53" applyNumberFormat="1" applyFont="1" applyFill="1" applyBorder="1" applyAlignment="1">
      <alignment horizontal="center" vertical="top" wrapText="1"/>
      <protection/>
    </xf>
    <xf numFmtId="172" fontId="10" fillId="0" borderId="13" xfId="53" applyNumberFormat="1" applyFont="1" applyFill="1" applyBorder="1" applyAlignment="1">
      <alignment horizontal="center" vertical="top" wrapText="1"/>
      <protection/>
    </xf>
    <xf numFmtId="172" fontId="12" fillId="0" borderId="10" xfId="53" applyNumberFormat="1" applyFont="1" applyFill="1" applyBorder="1" applyAlignment="1">
      <alignment horizontal="center" vertical="top" wrapText="1"/>
      <protection/>
    </xf>
    <xf numFmtId="172" fontId="12" fillId="0" borderId="13" xfId="53" applyNumberFormat="1" applyFont="1" applyFill="1" applyBorder="1" applyAlignment="1">
      <alignment horizontal="center" vertical="top" wrapText="1"/>
      <protection/>
    </xf>
    <xf numFmtId="0" fontId="20" fillId="0" borderId="0" xfId="53" applyFont="1" applyFill="1" applyAlignment="1">
      <alignment horizontal="center" vertical="center"/>
      <protection/>
    </xf>
    <xf numFmtId="0" fontId="17" fillId="0" borderId="10" xfId="53" applyFont="1" applyFill="1" applyBorder="1" applyAlignment="1">
      <alignment horizontal="left" vertical="center" wrapText="1"/>
      <protection/>
    </xf>
    <xf numFmtId="172" fontId="18" fillId="0" borderId="0" xfId="68" applyNumberFormat="1" applyFont="1" applyFill="1" applyAlignment="1">
      <alignment horizontal="center" vertical="center"/>
    </xf>
    <xf numFmtId="0" fontId="10" fillId="0" borderId="0" xfId="55" applyFont="1" applyFill="1" applyAlignment="1">
      <alignment vertical="top"/>
      <protection/>
    </xf>
    <xf numFmtId="171" fontId="14" fillId="0" borderId="0" xfId="69" applyFont="1" applyFill="1" applyAlignment="1">
      <alignment horizontal="center" vertical="center"/>
    </xf>
    <xf numFmtId="171" fontId="14" fillId="0" borderId="0" xfId="69" applyFont="1" applyFill="1" applyAlignment="1">
      <alignment horizontal="right" vertical="center"/>
    </xf>
    <xf numFmtId="0" fontId="10" fillId="0" borderId="0" xfId="55" applyFont="1" applyFill="1" applyBorder="1" applyAlignment="1">
      <alignment vertical="top"/>
      <protection/>
    </xf>
    <xf numFmtId="0" fontId="10" fillId="0" borderId="0" xfId="58" applyFont="1" applyFill="1" applyAlignment="1">
      <alignment horizontal="center" vertical="center"/>
      <protection/>
    </xf>
    <xf numFmtId="0" fontId="10" fillId="0" borderId="0" xfId="55" applyFont="1" applyFill="1" applyAlignment="1">
      <alignment horizontal="center" vertical="center"/>
      <protection/>
    </xf>
    <xf numFmtId="0" fontId="10" fillId="0" borderId="0" xfId="55" applyFont="1" applyFill="1" applyAlignment="1">
      <alignment wrapText="1"/>
      <protection/>
    </xf>
    <xf numFmtId="0" fontId="10" fillId="0" borderId="0" xfId="0" applyFont="1" applyFill="1" applyAlignment="1">
      <alignment/>
    </xf>
    <xf numFmtId="171" fontId="10" fillId="0" borderId="10" xfId="66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172" fontId="12" fillId="0" borderId="10" xfId="69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57" fillId="0" borderId="10" xfId="0" applyFont="1" applyBorder="1" applyAlignment="1">
      <alignment vertical="center"/>
    </xf>
    <xf numFmtId="0" fontId="10" fillId="0" borderId="0" xfId="0" applyFont="1" applyFill="1" applyAlignment="1">
      <alignment vertical="top" wrapText="1"/>
    </xf>
    <xf numFmtId="1" fontId="10" fillId="0" borderId="0" xfId="69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172" fontId="10" fillId="0" borderId="0" xfId="69" applyNumberFormat="1" applyFont="1" applyFill="1" applyAlignment="1">
      <alignment horizontal="center" vertical="center"/>
    </xf>
    <xf numFmtId="1" fontId="10" fillId="0" borderId="0" xfId="53" applyNumberFormat="1" applyFont="1" applyFill="1" applyAlignment="1">
      <alignment horizontal="center" vertical="center"/>
      <protection/>
    </xf>
    <xf numFmtId="1" fontId="10" fillId="0" borderId="0" xfId="57" applyNumberFormat="1" applyFont="1" applyFill="1" applyAlignment="1">
      <alignment horizontal="center" vertical="center"/>
      <protection/>
    </xf>
    <xf numFmtId="1" fontId="12" fillId="0" borderId="10" xfId="69" applyNumberFormat="1" applyFont="1" applyFill="1" applyBorder="1" applyAlignment="1">
      <alignment horizontal="center" vertical="center" wrapText="1"/>
    </xf>
    <xf numFmtId="172" fontId="12" fillId="0" borderId="10" xfId="69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1" fontId="10" fillId="0" borderId="10" xfId="69" applyNumberFormat="1" applyFont="1" applyFill="1" applyBorder="1" applyAlignment="1">
      <alignment horizontal="center" vertical="center" wrapText="1"/>
    </xf>
    <xf numFmtId="172" fontId="10" fillId="0" borderId="10" xfId="69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left"/>
    </xf>
    <xf numFmtId="1" fontId="10" fillId="0" borderId="10" xfId="69" applyNumberFormat="1" applyFont="1" applyFill="1" applyBorder="1" applyAlignment="1">
      <alignment horizontal="center" vertical="center"/>
    </xf>
    <xf numFmtId="172" fontId="10" fillId="0" borderId="10" xfId="69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top"/>
    </xf>
    <xf numFmtId="1" fontId="12" fillId="0" borderId="10" xfId="69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53" applyFont="1" applyFill="1" applyBorder="1" applyAlignment="1">
      <alignment vertical="top"/>
      <protection/>
    </xf>
    <xf numFmtId="171" fontId="12" fillId="0" borderId="10" xfId="69" applyFont="1" applyFill="1" applyBorder="1" applyAlignment="1">
      <alignment horizontal="center" vertical="center"/>
    </xf>
    <xf numFmtId="171" fontId="10" fillId="0" borderId="10" xfId="69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174" fontId="10" fillId="0" borderId="10" xfId="0" applyNumberFormat="1" applyFont="1" applyFill="1" applyBorder="1" applyAlignment="1">
      <alignment vertical="top" wrapText="1"/>
    </xf>
    <xf numFmtId="49" fontId="12" fillId="0" borderId="10" xfId="53" applyNumberFormat="1" applyFont="1" applyFill="1" applyBorder="1" applyAlignment="1">
      <alignment horizontal="left" vertical="center" wrapText="1"/>
      <protection/>
    </xf>
    <xf numFmtId="49" fontId="10" fillId="0" borderId="10" xfId="53" applyNumberFormat="1" applyFont="1" applyFill="1" applyBorder="1" applyAlignment="1">
      <alignment horizontal="left" vertical="center" wrapText="1"/>
      <protection/>
    </xf>
    <xf numFmtId="174" fontId="12" fillId="0" borderId="10" xfId="0" applyNumberFormat="1" applyFont="1" applyFill="1" applyBorder="1" applyAlignment="1">
      <alignment vertical="top" wrapText="1"/>
    </xf>
    <xf numFmtId="0" fontId="10" fillId="0" borderId="10" xfId="0" applyNumberFormat="1" applyFont="1" applyFill="1" applyBorder="1" applyAlignment="1">
      <alignment vertical="top" wrapText="1"/>
    </xf>
    <xf numFmtId="172" fontId="10" fillId="0" borderId="10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11" fillId="0" borderId="13" xfId="53" applyNumberFormat="1" applyFont="1" applyFill="1" applyBorder="1" applyAlignment="1">
      <alignment horizontal="center" vertical="center" wrapText="1"/>
      <protection/>
    </xf>
    <xf numFmtId="1" fontId="3" fillId="0" borderId="10" xfId="69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vertical="top" wrapText="1"/>
    </xf>
    <xf numFmtId="1" fontId="72" fillId="0" borderId="10" xfId="69" applyNumberFormat="1" applyFont="1" applyFill="1" applyBorder="1" applyAlignment="1">
      <alignment horizontal="center" vertical="center" wrapText="1"/>
    </xf>
    <xf numFmtId="49" fontId="72" fillId="0" borderId="10" xfId="53" applyNumberFormat="1" applyFont="1" applyFill="1" applyBorder="1" applyAlignment="1">
      <alignment horizontal="center" vertical="center" wrapText="1"/>
      <protection/>
    </xf>
    <xf numFmtId="172" fontId="72" fillId="0" borderId="10" xfId="69" applyNumberFormat="1" applyFont="1" applyFill="1" applyBorder="1" applyAlignment="1">
      <alignment horizontal="center" vertical="center" wrapText="1"/>
    </xf>
    <xf numFmtId="172" fontId="72" fillId="0" borderId="10" xfId="69" applyNumberFormat="1" applyFont="1" applyFill="1" applyBorder="1" applyAlignment="1">
      <alignment horizontal="right" vertical="center" wrapText="1"/>
    </xf>
    <xf numFmtId="0" fontId="68" fillId="0" borderId="0" xfId="0" applyFont="1" applyFill="1" applyAlignment="1">
      <alignment/>
    </xf>
    <xf numFmtId="11" fontId="72" fillId="0" borderId="10" xfId="0" applyNumberFormat="1" applyFont="1" applyFill="1" applyBorder="1" applyAlignment="1">
      <alignment vertical="top" wrapText="1"/>
    </xf>
    <xf numFmtId="172" fontId="14" fillId="0" borderId="10" xfId="53" applyNumberFormat="1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172" fontId="10" fillId="0" borderId="10" xfId="53" applyNumberFormat="1" applyFont="1" applyFill="1" applyBorder="1" applyAlignment="1">
      <alignment horizontal="center" vertical="top"/>
      <protection/>
    </xf>
    <xf numFmtId="172" fontId="18" fillId="0" borderId="16" xfId="68" applyNumberFormat="1" applyFont="1" applyFill="1" applyBorder="1" applyAlignment="1">
      <alignment horizontal="center" vertical="center"/>
    </xf>
    <xf numFmtId="172" fontId="12" fillId="0" borderId="10" xfId="68" applyNumberFormat="1" applyFont="1" applyFill="1" applyBorder="1" applyAlignment="1">
      <alignment horizontal="center" vertical="top"/>
    </xf>
    <xf numFmtId="171" fontId="10" fillId="0" borderId="0" xfId="68" applyFont="1" applyFill="1" applyAlignment="1">
      <alignment horizontal="center" vertical="center"/>
    </xf>
    <xf numFmtId="171" fontId="10" fillId="0" borderId="0" xfId="68" applyFont="1" applyFill="1" applyAlignment="1">
      <alignment vertical="center"/>
    </xf>
    <xf numFmtId="0" fontId="10" fillId="0" borderId="20" xfId="53" applyFont="1" applyFill="1" applyBorder="1" applyAlignment="1">
      <alignment horizontal="left" vertical="top" wrapText="1"/>
      <protection/>
    </xf>
    <xf numFmtId="172" fontId="10" fillId="0" borderId="10" xfId="53" applyNumberFormat="1" applyFont="1" applyFill="1" applyBorder="1" applyAlignment="1">
      <alignment horizontal="left" vertical="top"/>
      <protection/>
    </xf>
    <xf numFmtId="0" fontId="10" fillId="0" borderId="10" xfId="68" applyNumberFormat="1" applyFont="1" applyFill="1" applyBorder="1" applyAlignment="1">
      <alignment horizontal="center" vertical="top"/>
    </xf>
    <xf numFmtId="172" fontId="10" fillId="0" borderId="10" xfId="68" applyNumberFormat="1" applyFont="1" applyFill="1" applyBorder="1" applyAlignment="1">
      <alignment horizontal="center" vertical="top"/>
    </xf>
    <xf numFmtId="171" fontId="18" fillId="0" borderId="0" xfId="68" applyFont="1" applyFill="1" applyAlignment="1">
      <alignment horizontal="center" vertical="center"/>
    </xf>
    <xf numFmtId="2" fontId="1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/>
    </xf>
    <xf numFmtId="172" fontId="12" fillId="33" borderId="10" xfId="53" applyNumberFormat="1" applyFont="1" applyFill="1" applyBorder="1" applyAlignment="1">
      <alignment horizontal="center" vertical="center"/>
      <protection/>
    </xf>
    <xf numFmtId="0" fontId="10" fillId="33" borderId="0" xfId="53" applyFont="1" applyFill="1" applyAlignment="1">
      <alignment vertical="center"/>
      <protection/>
    </xf>
    <xf numFmtId="172" fontId="14" fillId="0" borderId="10" xfId="53" applyNumberFormat="1" applyFont="1" applyFill="1" applyBorder="1" applyAlignment="1">
      <alignment horizontal="left" vertical="center" wrapText="1"/>
      <protection/>
    </xf>
    <xf numFmtId="172" fontId="22" fillId="0" borderId="10" xfId="53" applyNumberFormat="1" applyFont="1" applyFill="1" applyBorder="1" applyAlignment="1">
      <alignment horizontal="center" vertical="center" wrapText="1"/>
      <protection/>
    </xf>
    <xf numFmtId="172" fontId="22" fillId="0" borderId="13" xfId="53" applyNumberFormat="1" applyFont="1" applyFill="1" applyBorder="1" applyAlignment="1">
      <alignment horizontal="center" vertical="center" wrapText="1"/>
      <protection/>
    </xf>
    <xf numFmtId="49" fontId="12" fillId="0" borderId="10" xfId="69" applyNumberFormat="1" applyFont="1" applyFill="1" applyBorder="1" applyAlignment="1">
      <alignment horizontal="center" vertical="center"/>
    </xf>
    <xf numFmtId="49" fontId="10" fillId="0" borderId="10" xfId="69" applyNumberFormat="1" applyFont="1" applyFill="1" applyBorder="1" applyAlignment="1">
      <alignment horizontal="center" vertical="center"/>
    </xf>
    <xf numFmtId="49" fontId="12" fillId="0" borderId="13" xfId="53" applyNumberFormat="1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/>
    </xf>
    <xf numFmtId="2" fontId="23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left" vertical="center" wrapText="1"/>
    </xf>
    <xf numFmtId="173" fontId="25" fillId="0" borderId="10" xfId="0" applyNumberFormat="1" applyFont="1" applyFill="1" applyBorder="1" applyAlignment="1">
      <alignment horizontal="center"/>
    </xf>
    <xf numFmtId="173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/>
    </xf>
    <xf numFmtId="173" fontId="19" fillId="0" borderId="10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2" fillId="0" borderId="10" xfId="53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12" fillId="0" borderId="10" xfId="53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8" fillId="0" borderId="0" xfId="53" applyFont="1" applyFill="1" applyAlignment="1">
      <alignment horizontal="center" vertical="center" wrapText="1"/>
      <protection/>
    </xf>
    <xf numFmtId="0" fontId="67" fillId="0" borderId="0" xfId="0" applyFont="1" applyFill="1" applyAlignment="1">
      <alignment vertical="center"/>
    </xf>
    <xf numFmtId="172" fontId="12" fillId="0" borderId="13" xfId="53" applyNumberFormat="1" applyFont="1" applyFill="1" applyBorder="1" applyAlignment="1">
      <alignment horizontal="center" vertical="center"/>
      <protection/>
    </xf>
    <xf numFmtId="172" fontId="12" fillId="0" borderId="19" xfId="53" applyNumberFormat="1" applyFont="1" applyFill="1" applyBorder="1" applyAlignment="1">
      <alignment horizontal="center" vertical="center"/>
      <protection/>
    </xf>
    <xf numFmtId="172" fontId="12" fillId="0" borderId="20" xfId="53" applyNumberFormat="1" applyFont="1" applyFill="1" applyBorder="1" applyAlignment="1">
      <alignment horizontal="center" vertical="center"/>
      <protection/>
    </xf>
    <xf numFmtId="0" fontId="67" fillId="0" borderId="0" xfId="0" applyFont="1" applyFill="1" applyAlignment="1">
      <alignment horizontal="center" vertical="center" wrapText="1"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12" fillId="0" borderId="21" xfId="53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172" fontId="12" fillId="0" borderId="22" xfId="53" applyNumberFormat="1" applyFont="1" applyFill="1" applyBorder="1" applyAlignment="1">
      <alignment horizontal="center" vertical="center" wrapText="1"/>
      <protection/>
    </xf>
    <xf numFmtId="172" fontId="12" fillId="0" borderId="23" xfId="53" applyNumberFormat="1" applyFont="1" applyFill="1" applyBorder="1" applyAlignment="1">
      <alignment horizontal="center" vertical="center" wrapText="1"/>
      <protection/>
    </xf>
    <xf numFmtId="172" fontId="12" fillId="0" borderId="24" xfId="53" applyNumberFormat="1" applyFont="1" applyFill="1" applyBorder="1" applyAlignment="1">
      <alignment horizontal="center" vertical="center" wrapText="1"/>
      <protection/>
    </xf>
    <xf numFmtId="172" fontId="12" fillId="0" borderId="14" xfId="53" applyNumberFormat="1" applyFont="1" applyFill="1" applyBorder="1" applyAlignment="1">
      <alignment horizontal="center" vertical="center" wrapText="1"/>
      <protection/>
    </xf>
    <xf numFmtId="172" fontId="12" fillId="0" borderId="16" xfId="53" applyNumberFormat="1" applyFont="1" applyFill="1" applyBorder="1" applyAlignment="1">
      <alignment horizontal="center" vertical="center" wrapText="1"/>
      <protection/>
    </xf>
    <xf numFmtId="172" fontId="12" fillId="0" borderId="25" xfId="53" applyNumberFormat="1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/>
      <protection/>
    </xf>
    <xf numFmtId="0" fontId="0" fillId="0" borderId="2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4" fillId="0" borderId="11" xfId="53" applyFont="1" applyFill="1" applyBorder="1" applyAlignment="1">
      <alignment horizontal="center" vertical="center"/>
      <protection/>
    </xf>
    <xf numFmtId="0" fontId="0" fillId="0" borderId="2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0" xfId="53" applyFont="1" applyFill="1" applyAlignment="1">
      <alignment horizontal="center" vertical="top" wrapText="1"/>
      <protection/>
    </xf>
    <xf numFmtId="0" fontId="67" fillId="0" borderId="0" xfId="0" applyFont="1" applyFill="1" applyAlignment="1">
      <alignment horizontal="center" vertical="top" wrapText="1"/>
    </xf>
    <xf numFmtId="0" fontId="17" fillId="0" borderId="10" xfId="53" applyFont="1" applyFill="1" applyBorder="1" applyAlignment="1">
      <alignment horizontal="center" vertical="center" wrapText="1"/>
      <protection/>
    </xf>
    <xf numFmtId="49" fontId="17" fillId="0" borderId="10" xfId="53" applyNumberFormat="1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2" fontId="12" fillId="0" borderId="19" xfId="53" applyNumberFormat="1" applyFont="1" applyFill="1" applyBorder="1" applyAlignment="1">
      <alignment horizontal="center" vertical="center" wrapText="1"/>
      <protection/>
    </xf>
    <xf numFmtId="172" fontId="12" fillId="0" borderId="20" xfId="53" applyNumberFormat="1" applyFont="1" applyFill="1" applyBorder="1" applyAlignment="1">
      <alignment horizontal="center" vertical="center" wrapText="1"/>
      <protection/>
    </xf>
    <xf numFmtId="0" fontId="14" fillId="0" borderId="11" xfId="53" applyFont="1" applyFill="1" applyBorder="1" applyAlignment="1">
      <alignment horizontal="center" vertical="center" wrapText="1"/>
      <protection/>
    </xf>
    <xf numFmtId="0" fontId="0" fillId="0" borderId="21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172" fontId="10" fillId="0" borderId="0" xfId="53" applyNumberFormat="1" applyFont="1" applyFill="1" applyAlignment="1">
      <alignment horizontal="right" vertical="center"/>
      <protection/>
    </xf>
    <xf numFmtId="172" fontId="0" fillId="0" borderId="0" xfId="0" applyNumberFormat="1" applyFont="1" applyFill="1" applyAlignment="1">
      <alignment horizontal="right" vertical="center"/>
    </xf>
    <xf numFmtId="172" fontId="12" fillId="0" borderId="10" xfId="69" applyNumberFormat="1" applyFont="1" applyFill="1" applyBorder="1" applyAlignment="1">
      <alignment horizontal="center" vertical="center" wrapText="1"/>
    </xf>
    <xf numFmtId="172" fontId="12" fillId="0" borderId="11" xfId="69" applyNumberFormat="1" applyFont="1" applyFill="1" applyBorder="1" applyAlignment="1">
      <alignment horizontal="center" vertical="center" wrapText="1"/>
    </xf>
    <xf numFmtId="172" fontId="12" fillId="0" borderId="12" xfId="69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center" wrapText="1"/>
    </xf>
    <xf numFmtId="0" fontId="0" fillId="0" borderId="19" xfId="0" applyFill="1" applyBorder="1" applyAlignment="1">
      <alignment wrapText="1"/>
    </xf>
    <xf numFmtId="0" fontId="0" fillId="0" borderId="20" xfId="0" applyFill="1" applyBorder="1" applyAlignment="1">
      <alignment wrapText="1"/>
    </xf>
    <xf numFmtId="49" fontId="10" fillId="0" borderId="13" xfId="56" applyNumberFormat="1" applyFont="1" applyFill="1" applyBorder="1" applyAlignment="1">
      <alignment horizontal="left" vertical="center" wrapText="1"/>
      <protection/>
    </xf>
    <xf numFmtId="0" fontId="0" fillId="0" borderId="19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49" fontId="12" fillId="0" borderId="13" xfId="56" applyNumberFormat="1" applyFont="1" applyFill="1" applyBorder="1" applyAlignment="1">
      <alignment horizontal="left" vertical="center" wrapText="1"/>
      <protection/>
    </xf>
    <xf numFmtId="49" fontId="12" fillId="0" borderId="22" xfId="53" applyNumberFormat="1" applyFont="1" applyFill="1" applyBorder="1" applyAlignment="1">
      <alignment horizontal="center" vertical="center" wrapText="1"/>
      <protection/>
    </xf>
    <xf numFmtId="49" fontId="12" fillId="0" borderId="23" xfId="53" applyNumberFormat="1" applyFont="1" applyFill="1" applyBorder="1" applyAlignment="1">
      <alignment horizontal="center" vertical="center" wrapText="1"/>
      <protection/>
    </xf>
    <xf numFmtId="49" fontId="12" fillId="0" borderId="24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12" fillId="0" borderId="0" xfId="53" applyFont="1" applyFill="1" applyAlignment="1">
      <alignment horizontal="center" vertical="center" wrapText="1"/>
      <protection/>
    </xf>
    <xf numFmtId="49" fontId="12" fillId="0" borderId="13" xfId="53" applyNumberFormat="1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top" wrapText="1"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12" fillId="0" borderId="13" xfId="53" applyFont="1" applyFill="1" applyBorder="1" applyAlignment="1">
      <alignment horizontal="center" vertical="center" wrapText="1"/>
      <protection/>
    </xf>
    <xf numFmtId="0" fontId="17" fillId="0" borderId="13" xfId="53" applyFont="1" applyFill="1" applyBorder="1" applyAlignment="1">
      <alignment horizontal="center" vertical="top" wrapText="1"/>
      <protection/>
    </xf>
    <xf numFmtId="0" fontId="17" fillId="0" borderId="19" xfId="53" applyFont="1" applyFill="1" applyBorder="1" applyAlignment="1">
      <alignment horizontal="center" vertical="top" wrapText="1"/>
      <protection/>
    </xf>
    <xf numFmtId="0" fontId="17" fillId="0" borderId="20" xfId="53" applyFont="1" applyFill="1" applyBorder="1" applyAlignment="1">
      <alignment horizontal="center" vertical="top" wrapText="1"/>
      <protection/>
    </xf>
    <xf numFmtId="0" fontId="21" fillId="0" borderId="13" xfId="53" applyFont="1" applyFill="1" applyBorder="1" applyAlignment="1">
      <alignment horizontal="center" vertical="top" wrapText="1"/>
      <protection/>
    </xf>
    <xf numFmtId="0" fontId="21" fillId="0" borderId="19" xfId="53" applyFont="1" applyFill="1" applyBorder="1" applyAlignment="1">
      <alignment horizontal="center" vertical="top" wrapText="1"/>
      <protection/>
    </xf>
    <xf numFmtId="0" fontId="21" fillId="0" borderId="20" xfId="53" applyFont="1" applyFill="1" applyBorder="1" applyAlignment="1">
      <alignment horizontal="center" vertical="top" wrapText="1"/>
      <protection/>
    </xf>
    <xf numFmtId="0" fontId="22" fillId="0" borderId="13" xfId="53" applyFont="1" applyFill="1" applyBorder="1" applyAlignment="1">
      <alignment horizontal="center" vertical="top" wrapText="1"/>
      <protection/>
    </xf>
    <xf numFmtId="0" fontId="22" fillId="0" borderId="19" xfId="53" applyFont="1" applyFill="1" applyBorder="1" applyAlignment="1">
      <alignment horizontal="center" vertical="top" wrapText="1"/>
      <protection/>
    </xf>
    <xf numFmtId="0" fontId="22" fillId="0" borderId="20" xfId="53" applyFont="1" applyFill="1" applyBorder="1" applyAlignment="1">
      <alignment horizontal="center" vertical="top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10" fillId="0" borderId="12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vertical="center" wrapText="1"/>
      <protection/>
    </xf>
    <xf numFmtId="0" fontId="10" fillId="0" borderId="12" xfId="53" applyFont="1" applyFill="1" applyBorder="1" applyAlignment="1">
      <alignment vertical="center" wrapText="1"/>
      <protection/>
    </xf>
    <xf numFmtId="0" fontId="17" fillId="0" borderId="13" xfId="53" applyFont="1" applyFill="1" applyBorder="1" applyAlignment="1">
      <alignment horizontal="center" vertical="center" wrapText="1"/>
      <protection/>
    </xf>
    <xf numFmtId="0" fontId="17" fillId="0" borderId="19" xfId="53" applyFont="1" applyFill="1" applyBorder="1" applyAlignment="1">
      <alignment horizontal="center" vertical="center" wrapText="1"/>
      <protection/>
    </xf>
    <xf numFmtId="0" fontId="17" fillId="0" borderId="20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21" fillId="0" borderId="19" xfId="53" applyFont="1" applyFill="1" applyBorder="1" applyAlignment="1">
      <alignment horizontal="center" vertical="center" wrapText="1"/>
      <protection/>
    </xf>
    <xf numFmtId="0" fontId="21" fillId="0" borderId="20" xfId="53" applyFont="1" applyFill="1" applyBorder="1" applyAlignment="1">
      <alignment horizontal="center" vertical="center" wrapText="1"/>
      <protection/>
    </xf>
    <xf numFmtId="172" fontId="12" fillId="0" borderId="13" xfId="68" applyNumberFormat="1" applyFont="1" applyFill="1" applyBorder="1" applyAlignment="1">
      <alignment horizontal="center" vertical="center" wrapText="1"/>
    </xf>
    <xf numFmtId="172" fontId="12" fillId="0" borderId="20" xfId="68" applyNumberFormat="1" applyFont="1" applyFill="1" applyBorder="1" applyAlignment="1">
      <alignment horizontal="center" vertical="center" wrapText="1"/>
    </xf>
    <xf numFmtId="172" fontId="12" fillId="0" borderId="11" xfId="68" applyNumberFormat="1" applyFont="1" applyFill="1" applyBorder="1" applyAlignment="1">
      <alignment horizontal="center" vertical="center" wrapText="1"/>
    </xf>
    <xf numFmtId="172" fontId="57" fillId="0" borderId="12" xfId="0" applyNumberFormat="1" applyFont="1" applyFill="1" applyBorder="1" applyAlignment="1">
      <alignment horizontal="center" vertical="center" wrapText="1"/>
    </xf>
    <xf numFmtId="0" fontId="19" fillId="0" borderId="0" xfId="53" applyFont="1" applyFill="1" applyAlignment="1">
      <alignment horizontal="center" vertical="center" wrapText="1"/>
      <protection/>
    </xf>
    <xf numFmtId="172" fontId="12" fillId="0" borderId="10" xfId="68" applyNumberFormat="1" applyFont="1" applyFill="1" applyBorder="1" applyAlignment="1">
      <alignment horizontal="center" vertical="center" wrapText="1"/>
    </xf>
    <xf numFmtId="0" fontId="12" fillId="0" borderId="11" xfId="55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wrapText="1"/>
    </xf>
    <xf numFmtId="0" fontId="12" fillId="0" borderId="13" xfId="58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center" vertical="center" wrapText="1"/>
      <protection/>
    </xf>
    <xf numFmtId="0" fontId="6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19" fillId="0" borderId="13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2" fontId="10" fillId="0" borderId="0" xfId="0" applyNumberFormat="1" applyFont="1" applyFill="1" applyAlignment="1">
      <alignment horizontal="right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 2" xfId="57"/>
    <cellStyle name="Обычный_Приложение 20. Межбюджетка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4">
      <pane xSplit="2" ySplit="11" topLeftCell="C31" activePane="bottomRight" state="frozen"/>
      <selection pane="topLeft" activeCell="A4" sqref="A4"/>
      <selection pane="topRight" activeCell="C4" sqref="C4"/>
      <selection pane="bottomLeft" activeCell="A12" sqref="A12"/>
      <selection pane="bottomRight" activeCell="H8" sqref="H8"/>
    </sheetView>
  </sheetViews>
  <sheetFormatPr defaultColWidth="10.00390625" defaultRowHeight="15"/>
  <cols>
    <col min="1" max="1" width="25.28125" style="43" customWidth="1"/>
    <col min="2" max="2" width="55.57421875" style="43" customWidth="1"/>
    <col min="3" max="3" width="14.7109375" style="56" customWidth="1"/>
    <col min="4" max="4" width="10.7109375" style="56" customWidth="1"/>
    <col min="5" max="5" width="11.28125" style="56" customWidth="1"/>
    <col min="6" max="6" width="10.7109375" style="43" customWidth="1"/>
    <col min="7" max="7" width="10.00390625" style="43" customWidth="1"/>
    <col min="8" max="16384" width="10.00390625" style="43" customWidth="1"/>
  </cols>
  <sheetData>
    <row r="1" spans="2:8" s="1" customFormat="1" ht="15">
      <c r="B1" s="35"/>
      <c r="C1" s="38"/>
      <c r="D1" s="12"/>
      <c r="F1" s="25" t="s">
        <v>0</v>
      </c>
      <c r="H1" s="25"/>
    </row>
    <row r="2" spans="2:8" s="1" customFormat="1" ht="15">
      <c r="B2" s="32"/>
      <c r="C2" s="38"/>
      <c r="D2" s="12"/>
      <c r="F2" s="25" t="s">
        <v>1</v>
      </c>
      <c r="H2" s="25"/>
    </row>
    <row r="3" spans="2:8" s="1" customFormat="1" ht="15">
      <c r="B3" s="32"/>
      <c r="D3" s="12"/>
      <c r="F3" s="25" t="s">
        <v>2</v>
      </c>
      <c r="H3" s="25"/>
    </row>
    <row r="4" spans="2:8" s="1" customFormat="1" ht="15">
      <c r="B4" s="32"/>
      <c r="D4" s="12"/>
      <c r="F4" s="25" t="s">
        <v>0</v>
      </c>
      <c r="H4" s="25"/>
    </row>
    <row r="5" spans="2:8" s="1" customFormat="1" ht="15">
      <c r="B5" s="32"/>
      <c r="D5" s="12"/>
      <c r="F5" s="25" t="s">
        <v>1</v>
      </c>
      <c r="H5" s="25"/>
    </row>
    <row r="6" spans="2:8" s="1" customFormat="1" ht="15">
      <c r="B6" s="32"/>
      <c r="D6" s="12"/>
      <c r="F6" s="25" t="s">
        <v>2</v>
      </c>
      <c r="H6" s="25"/>
    </row>
    <row r="7" spans="2:8" s="1" customFormat="1" ht="15.75" customHeight="1">
      <c r="B7" s="32"/>
      <c r="C7" s="38"/>
      <c r="D7" s="12"/>
      <c r="F7" s="33" t="s">
        <v>719</v>
      </c>
      <c r="H7" s="33"/>
    </row>
    <row r="8" spans="2:8" s="1" customFormat="1" ht="15">
      <c r="B8" s="32"/>
      <c r="C8" s="38"/>
      <c r="D8" s="12"/>
      <c r="E8" s="32"/>
      <c r="F8" s="25" t="s">
        <v>736</v>
      </c>
      <c r="G8" s="32"/>
      <c r="H8" s="25"/>
    </row>
    <row r="9" spans="3:6" s="1" customFormat="1" ht="12.75">
      <c r="C9" s="12"/>
      <c r="D9" s="35"/>
      <c r="E9" s="32"/>
      <c r="F9" s="32"/>
    </row>
    <row r="10" spans="1:6" s="39" customFormat="1" ht="43.5" customHeight="1">
      <c r="A10" s="348" t="s">
        <v>671</v>
      </c>
      <c r="B10" s="348"/>
      <c r="C10" s="349"/>
      <c r="D10" s="349"/>
      <c r="E10" s="349"/>
      <c r="F10" s="349"/>
    </row>
    <row r="11" spans="1:6" s="39" customFormat="1" ht="14.25" customHeight="1">
      <c r="A11" s="24"/>
      <c r="B11" s="24"/>
      <c r="C11" s="40"/>
      <c r="D11" s="40"/>
      <c r="E11" s="40"/>
      <c r="F11" s="40"/>
    </row>
    <row r="12" spans="1:5" ht="12.75" customHeight="1">
      <c r="A12" s="41"/>
      <c r="B12" s="41"/>
      <c r="C12" s="42"/>
      <c r="D12" s="42"/>
      <c r="E12" s="42"/>
    </row>
    <row r="13" spans="1:7" s="39" customFormat="1" ht="63.75" customHeight="1">
      <c r="A13" s="346" t="s">
        <v>670</v>
      </c>
      <c r="B13" s="344" t="s">
        <v>640</v>
      </c>
      <c r="C13" s="350" t="s">
        <v>666</v>
      </c>
      <c r="D13" s="351"/>
      <c r="E13" s="351"/>
      <c r="F13" s="351"/>
      <c r="G13" s="352"/>
    </row>
    <row r="14" spans="1:7" s="39" customFormat="1" ht="45" customHeight="1">
      <c r="A14" s="347"/>
      <c r="B14" s="345"/>
      <c r="C14" s="44" t="s">
        <v>717</v>
      </c>
      <c r="D14" s="44" t="s">
        <v>735</v>
      </c>
      <c r="E14" s="45" t="s">
        <v>718</v>
      </c>
      <c r="F14" s="45" t="s">
        <v>667</v>
      </c>
      <c r="G14" s="45" t="s">
        <v>668</v>
      </c>
    </row>
    <row r="15" spans="1:7" s="15" customFormat="1" ht="33.75" customHeight="1">
      <c r="A15" s="10" t="s">
        <v>641</v>
      </c>
      <c r="B15" s="17" t="s">
        <v>642</v>
      </c>
      <c r="C15" s="27">
        <f>C16</f>
        <v>35000</v>
      </c>
      <c r="D15" s="27">
        <f>D16</f>
        <v>35000</v>
      </c>
      <c r="E15" s="27">
        <f aca="true" t="shared" si="0" ref="E15:E20">D15-C15</f>
        <v>0</v>
      </c>
      <c r="F15" s="27">
        <f>F16</f>
        <v>28500</v>
      </c>
      <c r="G15" s="27">
        <f>G16</f>
        <v>30000</v>
      </c>
    </row>
    <row r="16" spans="1:7" s="15" customFormat="1" ht="45" customHeight="1">
      <c r="A16" s="46" t="s">
        <v>643</v>
      </c>
      <c r="B16" s="6" t="s">
        <v>644</v>
      </c>
      <c r="C16" s="47">
        <f>36000-1000</f>
        <v>35000</v>
      </c>
      <c r="D16" s="47">
        <f>36000-1000</f>
        <v>35000</v>
      </c>
      <c r="E16" s="13">
        <f t="shared" si="0"/>
        <v>0</v>
      </c>
      <c r="F16" s="47">
        <v>28500</v>
      </c>
      <c r="G16" s="47">
        <v>30000</v>
      </c>
    </row>
    <row r="17" spans="1:7" s="16" customFormat="1" ht="37.5" customHeight="1">
      <c r="A17" s="10" t="s">
        <v>645</v>
      </c>
      <c r="B17" s="17" t="s">
        <v>646</v>
      </c>
      <c r="C17" s="27">
        <f>C18+C19</f>
        <v>0</v>
      </c>
      <c r="D17" s="27">
        <f>D18+D19</f>
        <v>0</v>
      </c>
      <c r="E17" s="27">
        <f t="shared" si="0"/>
        <v>0</v>
      </c>
      <c r="F17" s="27">
        <f>F18+F19</f>
        <v>0</v>
      </c>
      <c r="G17" s="27">
        <f>G18+G19</f>
        <v>0</v>
      </c>
    </row>
    <row r="18" spans="1:7" s="16" customFormat="1" ht="49.5" customHeight="1">
      <c r="A18" s="46" t="s">
        <v>647</v>
      </c>
      <c r="B18" s="6" t="s">
        <v>648</v>
      </c>
      <c r="C18" s="47">
        <v>30000</v>
      </c>
      <c r="D18" s="47">
        <v>30000</v>
      </c>
      <c r="E18" s="13">
        <f t="shared" si="0"/>
        <v>0</v>
      </c>
      <c r="F18" s="47">
        <v>30000</v>
      </c>
      <c r="G18" s="47">
        <v>30000</v>
      </c>
    </row>
    <row r="19" spans="1:7" s="16" customFormat="1" ht="53.25" customHeight="1">
      <c r="A19" s="46" t="s">
        <v>649</v>
      </c>
      <c r="B19" s="6" t="s">
        <v>650</v>
      </c>
      <c r="C19" s="47">
        <v>-30000</v>
      </c>
      <c r="D19" s="47">
        <v>-30000</v>
      </c>
      <c r="E19" s="13">
        <f t="shared" si="0"/>
        <v>0</v>
      </c>
      <c r="F19" s="47">
        <v>-30000</v>
      </c>
      <c r="G19" s="47">
        <v>-30000</v>
      </c>
    </row>
    <row r="20" spans="1:7" s="16" customFormat="1" ht="25.5" hidden="1">
      <c r="A20" s="10" t="s">
        <v>651</v>
      </c>
      <c r="B20" s="17" t="s">
        <v>652</v>
      </c>
      <c r="C20" s="27"/>
      <c r="D20" s="27"/>
      <c r="E20" s="13">
        <f t="shared" si="0"/>
        <v>0</v>
      </c>
      <c r="F20" s="48"/>
      <c r="G20" s="48"/>
    </row>
    <row r="21" spans="1:7" s="16" customFormat="1" ht="30" customHeight="1">
      <c r="A21" s="10" t="s">
        <v>651</v>
      </c>
      <c r="B21" s="17" t="s">
        <v>652</v>
      </c>
      <c r="C21" s="27">
        <f>801.9+12342.6+3005.7+11324.7+80.1+20-9000-123.7+945+100+1470+2648.5+90+3000+300+340.5+800</f>
        <v>28145.3</v>
      </c>
      <c r="D21" s="27">
        <f>801.9+12342.6+3005.7+11324.7+80.1+20-9000-123.7+945+100+1470+2648.5+90+3000+300+340.5+800</f>
        <v>28145.3</v>
      </c>
      <c r="E21" s="27">
        <f>D21-C21</f>
        <v>0</v>
      </c>
      <c r="F21" s="48"/>
      <c r="G21" s="48"/>
    </row>
    <row r="22" spans="1:7" s="15" customFormat="1" ht="42" customHeight="1">
      <c r="A22" s="10" t="s">
        <v>653</v>
      </c>
      <c r="B22" s="17" t="s">
        <v>654</v>
      </c>
      <c r="C22" s="27">
        <f>C24+C25+C23</f>
        <v>10000</v>
      </c>
      <c r="D22" s="27">
        <f>D24+D25+D23</f>
        <v>10000</v>
      </c>
      <c r="E22" s="27">
        <f aca="true" t="shared" si="1" ref="E22:E31">D22-C22</f>
        <v>0</v>
      </c>
      <c r="F22" s="27">
        <f>F24+F25+F23</f>
        <v>10000</v>
      </c>
      <c r="G22" s="27">
        <f>G24+G25+G23</f>
        <v>10000</v>
      </c>
    </row>
    <row r="23" spans="1:7" s="16" customFormat="1" ht="45" customHeight="1">
      <c r="A23" s="46" t="s">
        <v>655</v>
      </c>
      <c r="B23" s="6" t="s">
        <v>656</v>
      </c>
      <c r="C23" s="47">
        <v>10000</v>
      </c>
      <c r="D23" s="47">
        <v>10000</v>
      </c>
      <c r="E23" s="13">
        <f t="shared" si="1"/>
        <v>0</v>
      </c>
      <c r="F23" s="47">
        <v>10000</v>
      </c>
      <c r="G23" s="47">
        <v>10000</v>
      </c>
    </row>
    <row r="24" spans="1:7" s="16" customFormat="1" ht="55.5" customHeight="1">
      <c r="A24" s="46" t="s">
        <v>657</v>
      </c>
      <c r="B24" s="6" t="s">
        <v>658</v>
      </c>
      <c r="C24" s="47">
        <v>-20000</v>
      </c>
      <c r="D24" s="47">
        <v>-20000</v>
      </c>
      <c r="E24" s="13">
        <f t="shared" si="1"/>
        <v>0</v>
      </c>
      <c r="F24" s="47">
        <v>-20000</v>
      </c>
      <c r="G24" s="47">
        <v>-20000</v>
      </c>
    </row>
    <row r="25" spans="1:7" s="16" customFormat="1" ht="60" customHeight="1">
      <c r="A25" s="46" t="s">
        <v>659</v>
      </c>
      <c r="B25" s="6" t="s">
        <v>660</v>
      </c>
      <c r="C25" s="47">
        <v>20000</v>
      </c>
      <c r="D25" s="47">
        <v>20000</v>
      </c>
      <c r="E25" s="13">
        <f t="shared" si="1"/>
        <v>0</v>
      </c>
      <c r="F25" s="47">
        <v>20000</v>
      </c>
      <c r="G25" s="47">
        <v>20000</v>
      </c>
    </row>
    <row r="26" spans="1:7" s="16" customFormat="1" ht="15.75" hidden="1">
      <c r="A26" s="46"/>
      <c r="B26" s="6"/>
      <c r="C26" s="13"/>
      <c r="D26" s="13"/>
      <c r="E26" s="13">
        <f t="shared" si="1"/>
        <v>0</v>
      </c>
      <c r="F26" s="48"/>
      <c r="G26" s="48"/>
    </row>
    <row r="27" spans="1:7" s="15" customFormat="1" ht="31.5" customHeight="1" hidden="1">
      <c r="A27" s="10" t="s">
        <v>661</v>
      </c>
      <c r="B27" s="17" t="s">
        <v>662</v>
      </c>
      <c r="C27" s="27">
        <f>C29</f>
        <v>0</v>
      </c>
      <c r="D27" s="27"/>
      <c r="E27" s="13">
        <f t="shared" si="1"/>
        <v>0</v>
      </c>
      <c r="F27" s="49"/>
      <c r="G27" s="49"/>
    </row>
    <row r="28" spans="1:7" s="16" customFormat="1" ht="15.75" hidden="1">
      <c r="A28" s="46"/>
      <c r="B28" s="6"/>
      <c r="C28" s="13"/>
      <c r="D28" s="13"/>
      <c r="E28" s="13">
        <f t="shared" si="1"/>
        <v>0</v>
      </c>
      <c r="F28" s="48"/>
      <c r="G28" s="48"/>
    </row>
    <row r="29" spans="1:7" s="16" customFormat="1" ht="38.25" hidden="1">
      <c r="A29" s="46" t="s">
        <v>663</v>
      </c>
      <c r="B29" s="6" t="s">
        <v>664</v>
      </c>
      <c r="C29" s="13"/>
      <c r="D29" s="13"/>
      <c r="E29" s="13">
        <f t="shared" si="1"/>
        <v>0</v>
      </c>
      <c r="F29" s="48"/>
      <c r="G29" s="48"/>
    </row>
    <row r="30" spans="1:7" s="16" customFormat="1" ht="15.75" hidden="1">
      <c r="A30" s="46"/>
      <c r="B30" s="6"/>
      <c r="C30" s="13"/>
      <c r="D30" s="13"/>
      <c r="E30" s="13">
        <f t="shared" si="1"/>
        <v>0</v>
      </c>
      <c r="F30" s="48"/>
      <c r="G30" s="48"/>
    </row>
    <row r="31" spans="1:7" s="16" customFormat="1" ht="24" customHeight="1">
      <c r="A31" s="46"/>
      <c r="B31" s="10" t="s">
        <v>665</v>
      </c>
      <c r="C31" s="27">
        <f>C15+C17+C22+C20+C27+C21</f>
        <v>73145.3</v>
      </c>
      <c r="D31" s="27">
        <f>D15+D17+D22+D20+D27+D21</f>
        <v>73145.3</v>
      </c>
      <c r="E31" s="27">
        <f t="shared" si="1"/>
        <v>0</v>
      </c>
      <c r="F31" s="27">
        <f>F15+F17+F22+F20+F27+F21</f>
        <v>38500</v>
      </c>
      <c r="G31" s="27">
        <f>G15+G17+G22+G20+G27+G21</f>
        <v>40000</v>
      </c>
    </row>
    <row r="32" spans="1:7" s="63" customFormat="1" ht="71.25" customHeight="1">
      <c r="A32" s="61"/>
      <c r="B32" s="62" t="s">
        <v>740</v>
      </c>
      <c r="C32" s="64">
        <f>((C31-C21)/('Пр.2'!C13-'Пр.2'!C15*19/34)*100)</f>
        <v>8.852315364741603</v>
      </c>
      <c r="D32" s="64">
        <f>((D31-D21)/('Пр.2'!D13-'Пр.2'!D15*19/34)*100)</f>
        <v>8.852315364741603</v>
      </c>
      <c r="E32" s="64"/>
      <c r="F32" s="64">
        <f>((F31-F21)/('Пр.2'!F13-'Пр.2'!F15*19.4/34.4)*100)</f>
        <v>7.306104098269286</v>
      </c>
      <c r="G32" s="64">
        <f>((G31-G21)/('Пр.2'!G13-'Пр.2'!G15*19.6/34.6)*100)</f>
        <v>7.259611950199978</v>
      </c>
    </row>
    <row r="33" spans="1:5" ht="12.75">
      <c r="A33" s="18"/>
      <c r="B33" s="18"/>
      <c r="C33" s="50"/>
      <c r="D33" s="50"/>
      <c r="E33" s="50"/>
    </row>
    <row r="34" spans="1:5" ht="12.75">
      <c r="A34" s="51"/>
      <c r="B34" s="51"/>
      <c r="C34" s="52"/>
      <c r="D34" s="52"/>
      <c r="E34" s="52"/>
    </row>
    <row r="35" spans="1:5" s="39" customFormat="1" ht="12.75">
      <c r="A35" s="51"/>
      <c r="B35" s="51"/>
      <c r="C35" s="52"/>
      <c r="D35" s="52"/>
      <c r="E35" s="52"/>
    </row>
    <row r="36" spans="1:5" s="39" customFormat="1" ht="12.75">
      <c r="A36" s="18"/>
      <c r="B36" s="18"/>
      <c r="C36" s="50"/>
      <c r="D36" s="50"/>
      <c r="E36" s="50"/>
    </row>
    <row r="37" spans="1:5" s="39" customFormat="1" ht="12.75">
      <c r="A37" s="18"/>
      <c r="B37" s="18"/>
      <c r="C37" s="50"/>
      <c r="D37" s="50"/>
      <c r="E37" s="50"/>
    </row>
    <row r="38" spans="1:5" ht="12.75">
      <c r="A38" s="18"/>
      <c r="B38" s="18"/>
      <c r="C38" s="50"/>
      <c r="D38" s="50"/>
      <c r="E38" s="50"/>
    </row>
    <row r="39" spans="1:5" ht="18">
      <c r="A39" s="53"/>
      <c r="B39" s="54"/>
      <c r="C39" s="55"/>
      <c r="D39" s="55"/>
      <c r="E39" s="55"/>
    </row>
  </sheetData>
  <sheetProtection/>
  <mergeCells count="4">
    <mergeCell ref="B13:B14"/>
    <mergeCell ref="A13:A14"/>
    <mergeCell ref="A10:F10"/>
    <mergeCell ref="C13:G13"/>
  </mergeCells>
  <printOptions/>
  <pageMargins left="0.7086614173228347" right="0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J10" sqref="J10"/>
    </sheetView>
  </sheetViews>
  <sheetFormatPr defaultColWidth="10.140625" defaultRowHeight="15" outlineLevelCol="1"/>
  <cols>
    <col min="1" max="1" width="23.8515625" style="26" customWidth="1"/>
    <col min="2" max="2" width="61.28125" style="149" customWidth="1"/>
    <col min="3" max="3" width="12.57421875" style="142" hidden="1" customWidth="1" outlineLevel="1"/>
    <col min="4" max="4" width="11.8515625" style="142" customWidth="1" collapsed="1"/>
    <col min="5" max="5" width="10.7109375" style="142" hidden="1" customWidth="1" outlineLevel="1"/>
    <col min="6" max="6" width="12.421875" style="26" customWidth="1" collapsed="1"/>
    <col min="7" max="7" width="12.00390625" style="26" customWidth="1"/>
    <col min="8" max="16384" width="10.140625" style="26" customWidth="1"/>
  </cols>
  <sheetData>
    <row r="1" ht="15">
      <c r="G1" s="25" t="s">
        <v>0</v>
      </c>
    </row>
    <row r="2" ht="15">
      <c r="G2" s="25" t="s">
        <v>1</v>
      </c>
    </row>
    <row r="3" ht="15">
      <c r="G3" s="25" t="s">
        <v>2</v>
      </c>
    </row>
    <row r="4" ht="15">
      <c r="G4" s="25" t="s">
        <v>1161</v>
      </c>
    </row>
    <row r="5" spans="3:7" ht="15">
      <c r="C5" s="150"/>
      <c r="D5" s="150"/>
      <c r="F5" s="141"/>
      <c r="G5" s="25" t="s">
        <v>721</v>
      </c>
    </row>
    <row r="6" spans="3:7" ht="15">
      <c r="C6" s="150"/>
      <c r="D6" s="150"/>
      <c r="E6" s="150"/>
      <c r="F6" s="141"/>
      <c r="G6" s="141"/>
    </row>
    <row r="7" spans="3:7" ht="15">
      <c r="C7" s="150"/>
      <c r="D7" s="150"/>
      <c r="E7" s="150"/>
      <c r="F7" s="141"/>
      <c r="G7" s="141"/>
    </row>
    <row r="8" spans="1:7" ht="41.25" customHeight="1">
      <c r="A8" s="348" t="s">
        <v>1018</v>
      </c>
      <c r="B8" s="353"/>
      <c r="C8" s="353"/>
      <c r="D8" s="353"/>
      <c r="E8" s="353"/>
      <c r="F8" s="353"/>
      <c r="G8" s="192"/>
    </row>
    <row r="9" spans="1:2" ht="15">
      <c r="A9" s="151"/>
      <c r="B9" s="152"/>
    </row>
    <row r="10" spans="1:7" ht="20.25" customHeight="1">
      <c r="A10" s="31" t="s">
        <v>3</v>
      </c>
      <c r="B10" s="354" t="s">
        <v>527</v>
      </c>
      <c r="C10" s="358" t="s">
        <v>669</v>
      </c>
      <c r="D10" s="359"/>
      <c r="E10" s="359"/>
      <c r="F10" s="359"/>
      <c r="G10" s="360"/>
    </row>
    <row r="11" spans="1:7" ht="16.5" customHeight="1">
      <c r="A11" s="356" t="s">
        <v>4</v>
      </c>
      <c r="B11" s="354"/>
      <c r="C11" s="361"/>
      <c r="D11" s="362"/>
      <c r="E11" s="362"/>
      <c r="F11" s="362"/>
      <c r="G11" s="363"/>
    </row>
    <row r="12" spans="1:7" ht="33" customHeight="1">
      <c r="A12" s="357"/>
      <c r="B12" s="355"/>
      <c r="C12" s="193" t="s">
        <v>1062</v>
      </c>
      <c r="D12" s="193" t="s">
        <v>845</v>
      </c>
      <c r="E12" s="193" t="s">
        <v>720</v>
      </c>
      <c r="F12" s="194" t="s">
        <v>749</v>
      </c>
      <c r="G12" s="194" t="s">
        <v>1017</v>
      </c>
    </row>
    <row r="13" spans="1:7" ht="20.25" customHeight="1">
      <c r="A13" s="28" t="s">
        <v>528</v>
      </c>
      <c r="B13" s="29" t="s">
        <v>529</v>
      </c>
      <c r="C13" s="30">
        <f>C14+C16+C18+C23+C24+C29+C37+C40+C43+C44+C31</f>
        <v>857657.7</v>
      </c>
      <c r="D13" s="30">
        <f>D14+D16+D18+D23+D24+D29+D37+D40+D43+D44+D31</f>
        <v>857657.7</v>
      </c>
      <c r="E13" s="30">
        <f aca="true" t="shared" si="0" ref="E13:E45">D13-C13</f>
        <v>0</v>
      </c>
      <c r="F13" s="30">
        <f>F14+F16+F18+F23+F24+F29+F37+F40+F43+F44+F31</f>
        <v>898631.6999999998</v>
      </c>
      <c r="G13" s="30">
        <f>G14+G16+G18+G23+G24+G29+G37+G40+G43+G44+G31</f>
        <v>947113.9999999999</v>
      </c>
    </row>
    <row r="14" spans="1:7" ht="24" customHeight="1">
      <c r="A14" s="28" t="s">
        <v>530</v>
      </c>
      <c r="B14" s="29" t="s">
        <v>531</v>
      </c>
      <c r="C14" s="30">
        <f>C15</f>
        <v>625092</v>
      </c>
      <c r="D14" s="30">
        <f>D15</f>
        <v>625092</v>
      </c>
      <c r="E14" s="30">
        <f t="shared" si="0"/>
        <v>0</v>
      </c>
      <c r="F14" s="30">
        <f>F15</f>
        <v>659052.7</v>
      </c>
      <c r="G14" s="30">
        <f>G15</f>
        <v>699273.7</v>
      </c>
    </row>
    <row r="15" spans="1:7" ht="23.25" customHeight="1">
      <c r="A15" s="68" t="s">
        <v>532</v>
      </c>
      <c r="B15" s="153" t="s">
        <v>533</v>
      </c>
      <c r="C15" s="147">
        <v>625092</v>
      </c>
      <c r="D15" s="147">
        <v>625092</v>
      </c>
      <c r="E15" s="147">
        <f t="shared" si="0"/>
        <v>0</v>
      </c>
      <c r="F15" s="147">
        <v>659052.7</v>
      </c>
      <c r="G15" s="147">
        <v>699273.7</v>
      </c>
    </row>
    <row r="16" spans="1:7" ht="50.25" customHeight="1">
      <c r="A16" s="28" t="s">
        <v>534</v>
      </c>
      <c r="B16" s="29" t="s">
        <v>535</v>
      </c>
      <c r="C16" s="30">
        <f>C17</f>
        <v>59.2</v>
      </c>
      <c r="D16" s="30">
        <f>D17</f>
        <v>59.2</v>
      </c>
      <c r="E16" s="30">
        <f t="shared" si="0"/>
        <v>0</v>
      </c>
      <c r="F16" s="30">
        <f>F17</f>
        <v>60.2</v>
      </c>
      <c r="G16" s="30">
        <f>G17</f>
        <v>61.3</v>
      </c>
    </row>
    <row r="17" spans="1:7" ht="33.75" customHeight="1">
      <c r="A17" s="68" t="s">
        <v>536</v>
      </c>
      <c r="B17" s="153" t="s">
        <v>537</v>
      </c>
      <c r="C17" s="147">
        <v>59.2</v>
      </c>
      <c r="D17" s="147">
        <v>59.2</v>
      </c>
      <c r="E17" s="147">
        <f t="shared" si="0"/>
        <v>0</v>
      </c>
      <c r="F17" s="147">
        <v>60.2</v>
      </c>
      <c r="G17" s="147">
        <v>61.3</v>
      </c>
    </row>
    <row r="18" spans="1:7" ht="21" customHeight="1">
      <c r="A18" s="28" t="s">
        <v>538</v>
      </c>
      <c r="B18" s="29" t="s">
        <v>539</v>
      </c>
      <c r="C18" s="30">
        <f>C20+C21+C19+C22</f>
        <v>137181.5</v>
      </c>
      <c r="D18" s="30">
        <f>D20+D21+D19+D22</f>
        <v>137181.5</v>
      </c>
      <c r="E18" s="30">
        <f t="shared" si="0"/>
        <v>0</v>
      </c>
      <c r="F18" s="30">
        <f>F20+F21+F19+F22</f>
        <v>143005.6</v>
      </c>
      <c r="G18" s="30">
        <f>G20+G21+G19+G22</f>
        <v>148725.7</v>
      </c>
    </row>
    <row r="19" spans="1:7" ht="33.75" customHeight="1">
      <c r="A19" s="68" t="s">
        <v>540</v>
      </c>
      <c r="B19" s="153" t="s">
        <v>541</v>
      </c>
      <c r="C19" s="147">
        <v>106686.8</v>
      </c>
      <c r="D19" s="147">
        <v>106686.8</v>
      </c>
      <c r="E19" s="147">
        <f t="shared" si="0"/>
        <v>0</v>
      </c>
      <c r="F19" s="147">
        <v>104350.7</v>
      </c>
      <c r="G19" s="147">
        <v>108524.7</v>
      </c>
    </row>
    <row r="20" spans="1:7" ht="28.5" customHeight="1">
      <c r="A20" s="68" t="s">
        <v>542</v>
      </c>
      <c r="B20" s="153" t="s">
        <v>543</v>
      </c>
      <c r="C20" s="147">
        <v>29827</v>
      </c>
      <c r="D20" s="147">
        <v>29827</v>
      </c>
      <c r="E20" s="147">
        <f t="shared" si="0"/>
        <v>0</v>
      </c>
      <c r="F20" s="147">
        <v>38136.3</v>
      </c>
      <c r="G20" s="147">
        <v>39661.8</v>
      </c>
    </row>
    <row r="21" spans="1:7" ht="24" customHeight="1">
      <c r="A21" s="68" t="s">
        <v>544</v>
      </c>
      <c r="B21" s="153" t="s">
        <v>545</v>
      </c>
      <c r="C21" s="147">
        <v>95.2</v>
      </c>
      <c r="D21" s="147">
        <v>95.2</v>
      </c>
      <c r="E21" s="147">
        <f t="shared" si="0"/>
        <v>0</v>
      </c>
      <c r="F21" s="147">
        <v>46.5</v>
      </c>
      <c r="G21" s="147">
        <v>48.2</v>
      </c>
    </row>
    <row r="22" spans="1:7" ht="33.75" customHeight="1">
      <c r="A22" s="68" t="s">
        <v>546</v>
      </c>
      <c r="B22" s="153" t="s">
        <v>547</v>
      </c>
      <c r="C22" s="147">
        <v>572.5</v>
      </c>
      <c r="D22" s="147">
        <v>572.5</v>
      </c>
      <c r="E22" s="147">
        <f t="shared" si="0"/>
        <v>0</v>
      </c>
      <c r="F22" s="147">
        <v>472.1</v>
      </c>
      <c r="G22" s="147">
        <v>491</v>
      </c>
    </row>
    <row r="23" spans="1:7" ht="18.75" customHeight="1">
      <c r="A23" s="28" t="s">
        <v>548</v>
      </c>
      <c r="B23" s="29" t="s">
        <v>549</v>
      </c>
      <c r="C23" s="30">
        <v>9170.6</v>
      </c>
      <c r="D23" s="30">
        <v>9170.6</v>
      </c>
      <c r="E23" s="30">
        <f t="shared" si="0"/>
        <v>0</v>
      </c>
      <c r="F23" s="30">
        <v>9237.1</v>
      </c>
      <c r="G23" s="30">
        <v>9329.5</v>
      </c>
    </row>
    <row r="24" spans="1:7" ht="54" customHeight="1">
      <c r="A24" s="28" t="s">
        <v>550</v>
      </c>
      <c r="B24" s="29" t="s">
        <v>551</v>
      </c>
      <c r="C24" s="30">
        <f>C25+C26+C27+C28</f>
        <v>46296.6</v>
      </c>
      <c r="D24" s="30">
        <f>D25+D26+D27+D28</f>
        <v>46296.6</v>
      </c>
      <c r="E24" s="30">
        <f t="shared" si="0"/>
        <v>0</v>
      </c>
      <c r="F24" s="30">
        <f>F25+F26+F27+F28</f>
        <v>48617.9</v>
      </c>
      <c r="G24" s="30">
        <f>G25+G26+G27+G28</f>
        <v>50895.6</v>
      </c>
    </row>
    <row r="25" spans="1:7" ht="60" customHeight="1" hidden="1">
      <c r="A25" s="195" t="s">
        <v>26</v>
      </c>
      <c r="B25" s="196" t="s">
        <v>27</v>
      </c>
      <c r="C25" s="147"/>
      <c r="D25" s="147"/>
      <c r="E25" s="30">
        <f t="shared" si="0"/>
        <v>0</v>
      </c>
      <c r="F25" s="147"/>
      <c r="G25" s="147"/>
    </row>
    <row r="26" spans="1:7" ht="90.75" customHeight="1">
      <c r="A26" s="68" t="s">
        <v>552</v>
      </c>
      <c r="B26" s="89" t="s">
        <v>553</v>
      </c>
      <c r="C26" s="147">
        <v>45568.5</v>
      </c>
      <c r="D26" s="147">
        <v>45568.5</v>
      </c>
      <c r="E26" s="147">
        <f t="shared" si="0"/>
        <v>0</v>
      </c>
      <c r="F26" s="147">
        <v>47890</v>
      </c>
      <c r="G26" s="147">
        <v>50167.9</v>
      </c>
    </row>
    <row r="27" spans="1:7" ht="49.5" customHeight="1" hidden="1">
      <c r="A27" s="68" t="s">
        <v>632</v>
      </c>
      <c r="B27" s="196" t="s">
        <v>633</v>
      </c>
      <c r="C27" s="147"/>
      <c r="D27" s="147"/>
      <c r="E27" s="147">
        <f t="shared" si="0"/>
        <v>0</v>
      </c>
      <c r="F27" s="147"/>
      <c r="G27" s="147"/>
    </row>
    <row r="28" spans="1:7" ht="81" customHeight="1">
      <c r="A28" s="68" t="s">
        <v>554</v>
      </c>
      <c r="B28" s="196" t="s">
        <v>555</v>
      </c>
      <c r="C28" s="147">
        <v>728.1</v>
      </c>
      <c r="D28" s="147">
        <v>728.1</v>
      </c>
      <c r="E28" s="147">
        <f t="shared" si="0"/>
        <v>0</v>
      </c>
      <c r="F28" s="147">
        <v>727.9</v>
      </c>
      <c r="G28" s="147">
        <v>727.7</v>
      </c>
    </row>
    <row r="29" spans="1:7" ht="31.5" customHeight="1">
      <c r="A29" s="28" t="s">
        <v>556</v>
      </c>
      <c r="B29" s="29" t="s">
        <v>557</v>
      </c>
      <c r="C29" s="30">
        <f>C30</f>
        <v>13100</v>
      </c>
      <c r="D29" s="30">
        <f>D30</f>
        <v>13100</v>
      </c>
      <c r="E29" s="30">
        <f t="shared" si="0"/>
        <v>0</v>
      </c>
      <c r="F29" s="30">
        <f>F30</f>
        <v>13340</v>
      </c>
      <c r="G29" s="30">
        <f>G30</f>
        <v>13480</v>
      </c>
    </row>
    <row r="30" spans="1:7" ht="20.25" customHeight="1">
      <c r="A30" s="68" t="s">
        <v>558</v>
      </c>
      <c r="B30" s="153" t="s">
        <v>559</v>
      </c>
      <c r="C30" s="147">
        <v>13100</v>
      </c>
      <c r="D30" s="147">
        <v>13100</v>
      </c>
      <c r="E30" s="30">
        <f t="shared" si="0"/>
        <v>0</v>
      </c>
      <c r="F30" s="147">
        <v>13340</v>
      </c>
      <c r="G30" s="147">
        <v>13480</v>
      </c>
    </row>
    <row r="31" spans="1:7" ht="26.25" customHeight="1">
      <c r="A31" s="28" t="s">
        <v>560</v>
      </c>
      <c r="B31" s="29" t="s">
        <v>561</v>
      </c>
      <c r="C31" s="30">
        <f>C32+C33</f>
        <v>910.3</v>
      </c>
      <c r="D31" s="30">
        <f>D32+D33</f>
        <v>910.3</v>
      </c>
      <c r="E31" s="30">
        <f t="shared" si="0"/>
        <v>0</v>
      </c>
      <c r="F31" s="147">
        <f>F32+F33</f>
        <v>0</v>
      </c>
      <c r="G31" s="147">
        <f>G32+G33</f>
        <v>0</v>
      </c>
    </row>
    <row r="32" spans="1:7" ht="18" customHeight="1" hidden="1">
      <c r="A32" s="68" t="s">
        <v>5</v>
      </c>
      <c r="B32" s="153" t="s">
        <v>6</v>
      </c>
      <c r="C32" s="147"/>
      <c r="D32" s="147"/>
      <c r="E32" s="30">
        <f t="shared" si="0"/>
        <v>0</v>
      </c>
      <c r="F32" s="147"/>
      <c r="G32" s="147"/>
    </row>
    <row r="33" spans="1:7" ht="34.5" customHeight="1">
      <c r="A33" s="68" t="s">
        <v>7</v>
      </c>
      <c r="B33" s="153" t="s">
        <v>8</v>
      </c>
      <c r="C33" s="147">
        <v>910.3</v>
      </c>
      <c r="D33" s="147">
        <v>910.3</v>
      </c>
      <c r="E33" s="147">
        <f t="shared" si="0"/>
        <v>0</v>
      </c>
      <c r="F33" s="147"/>
      <c r="G33" s="147"/>
    </row>
    <row r="34" spans="1:7" ht="34.5" customHeight="1" hidden="1">
      <c r="A34" s="68"/>
      <c r="B34" s="153"/>
      <c r="C34" s="147"/>
      <c r="D34" s="147"/>
      <c r="E34" s="30">
        <f t="shared" si="0"/>
        <v>0</v>
      </c>
      <c r="F34" s="147"/>
      <c r="G34" s="147"/>
    </row>
    <row r="35" spans="1:7" ht="34.5" customHeight="1" hidden="1">
      <c r="A35" s="68"/>
      <c r="B35" s="153"/>
      <c r="C35" s="147"/>
      <c r="D35" s="147"/>
      <c r="E35" s="30">
        <f t="shared" si="0"/>
        <v>0</v>
      </c>
      <c r="F35" s="147"/>
      <c r="G35" s="147"/>
    </row>
    <row r="36" spans="1:7" ht="34.5" customHeight="1" hidden="1">
      <c r="A36" s="68"/>
      <c r="B36" s="153"/>
      <c r="C36" s="147"/>
      <c r="D36" s="147"/>
      <c r="E36" s="30">
        <f t="shared" si="0"/>
        <v>0</v>
      </c>
      <c r="F36" s="147"/>
      <c r="G36" s="147"/>
    </row>
    <row r="37" spans="1:7" ht="30.75" customHeight="1">
      <c r="A37" s="28" t="s">
        <v>562</v>
      </c>
      <c r="B37" s="29" t="s">
        <v>563</v>
      </c>
      <c r="C37" s="30">
        <f>C38+C39+C42</f>
        <v>18003.9</v>
      </c>
      <c r="D37" s="30">
        <f>D38+D39+D42</f>
        <v>18003.9</v>
      </c>
      <c r="E37" s="30">
        <f t="shared" si="0"/>
        <v>0</v>
      </c>
      <c r="F37" s="30">
        <f>F38+F39+F42</f>
        <v>12350</v>
      </c>
      <c r="G37" s="30">
        <f>G38+G39+G42</f>
        <v>12380</v>
      </c>
    </row>
    <row r="38" spans="1:7" ht="86.25" customHeight="1">
      <c r="A38" s="68" t="s">
        <v>1124</v>
      </c>
      <c r="B38" s="70" t="s">
        <v>564</v>
      </c>
      <c r="C38" s="147">
        <v>233.9</v>
      </c>
      <c r="D38" s="147">
        <v>233.9</v>
      </c>
      <c r="E38" s="147">
        <f t="shared" si="0"/>
        <v>0</v>
      </c>
      <c r="F38" s="147">
        <v>0</v>
      </c>
      <c r="G38" s="147">
        <v>0</v>
      </c>
    </row>
    <row r="39" spans="1:7" ht="39.75" customHeight="1">
      <c r="A39" s="68" t="s">
        <v>565</v>
      </c>
      <c r="B39" s="70" t="s">
        <v>566</v>
      </c>
      <c r="C39" s="147">
        <v>11070</v>
      </c>
      <c r="D39" s="147">
        <v>11070</v>
      </c>
      <c r="E39" s="147">
        <f t="shared" si="0"/>
        <v>0</v>
      </c>
      <c r="F39" s="147">
        <v>8140</v>
      </c>
      <c r="G39" s="147">
        <v>8160</v>
      </c>
    </row>
    <row r="40" spans="1:7" ht="32.25" customHeight="1" hidden="1">
      <c r="A40" s="28" t="s">
        <v>567</v>
      </c>
      <c r="B40" s="29" t="s">
        <v>568</v>
      </c>
      <c r="C40" s="147"/>
      <c r="D40" s="147"/>
      <c r="E40" s="147">
        <f t="shared" si="0"/>
        <v>0</v>
      </c>
      <c r="F40" s="147"/>
      <c r="G40" s="147"/>
    </row>
    <row r="41" spans="1:7" ht="38.25" customHeight="1" hidden="1">
      <c r="A41" s="68" t="s">
        <v>569</v>
      </c>
      <c r="B41" s="153" t="s">
        <v>570</v>
      </c>
      <c r="C41" s="147"/>
      <c r="D41" s="147"/>
      <c r="E41" s="147">
        <f t="shared" si="0"/>
        <v>0</v>
      </c>
      <c r="F41" s="147"/>
      <c r="G41" s="147"/>
    </row>
    <row r="42" spans="1:7" ht="75" customHeight="1">
      <c r="A42" s="68" t="s">
        <v>571</v>
      </c>
      <c r="B42" s="153" t="s">
        <v>572</v>
      </c>
      <c r="C42" s="147">
        <v>6700</v>
      </c>
      <c r="D42" s="147">
        <v>6700</v>
      </c>
      <c r="E42" s="147">
        <f t="shared" si="0"/>
        <v>0</v>
      </c>
      <c r="F42" s="147">
        <v>4210</v>
      </c>
      <c r="G42" s="147">
        <v>4220</v>
      </c>
    </row>
    <row r="43" spans="1:7" ht="15" customHeight="1">
      <c r="A43" s="28" t="s">
        <v>573</v>
      </c>
      <c r="B43" s="29" t="s">
        <v>574</v>
      </c>
      <c r="C43" s="30">
        <v>6183.1</v>
      </c>
      <c r="D43" s="30">
        <v>6183.1</v>
      </c>
      <c r="E43" s="30">
        <f t="shared" si="0"/>
        <v>0</v>
      </c>
      <c r="F43" s="30">
        <v>12183.1</v>
      </c>
      <c r="G43" s="30">
        <v>12183.1</v>
      </c>
    </row>
    <row r="44" spans="1:7" ht="20.25" customHeight="1">
      <c r="A44" s="28" t="s">
        <v>575</v>
      </c>
      <c r="B44" s="29" t="s">
        <v>576</v>
      </c>
      <c r="C44" s="30">
        <f>C45</f>
        <v>1660.5</v>
      </c>
      <c r="D44" s="30">
        <f>D45</f>
        <v>1660.5</v>
      </c>
      <c r="E44" s="30">
        <f t="shared" si="0"/>
        <v>0</v>
      </c>
      <c r="F44" s="30">
        <f>F45</f>
        <v>785.1</v>
      </c>
      <c r="G44" s="30">
        <f>G45</f>
        <v>785.1</v>
      </c>
    </row>
    <row r="45" spans="1:7" ht="17.25" customHeight="1">
      <c r="A45" s="68" t="s">
        <v>577</v>
      </c>
      <c r="B45" s="153" t="s">
        <v>9</v>
      </c>
      <c r="C45" s="147">
        <v>1660.5</v>
      </c>
      <c r="D45" s="147">
        <v>1660.5</v>
      </c>
      <c r="E45" s="147">
        <f t="shared" si="0"/>
        <v>0</v>
      </c>
      <c r="F45" s="147">
        <v>785.1</v>
      </c>
      <c r="G45" s="147">
        <v>785.1</v>
      </c>
    </row>
    <row r="46" spans="1:7" ht="18" customHeight="1">
      <c r="A46" s="28" t="s">
        <v>578</v>
      </c>
      <c r="B46" s="29" t="s">
        <v>579</v>
      </c>
      <c r="C46" s="30">
        <f>'Пр.3'!C13</f>
        <v>2091555</v>
      </c>
      <c r="D46" s="30">
        <f>'Пр.3'!D13</f>
        <v>2128048.5</v>
      </c>
      <c r="E46" s="30">
        <f>D46-C46</f>
        <v>36493.5</v>
      </c>
      <c r="F46" s="321">
        <f>'Пр.3'!F13</f>
        <v>2052489.8499999999</v>
      </c>
      <c r="G46" s="30">
        <f>'Пр.3'!G13</f>
        <v>2022615.9000000006</v>
      </c>
    </row>
    <row r="47" spans="1:7" ht="18" customHeight="1">
      <c r="A47" s="28"/>
      <c r="B47" s="29" t="s">
        <v>580</v>
      </c>
      <c r="C47" s="30">
        <f>C13+C46</f>
        <v>2949212.7</v>
      </c>
      <c r="D47" s="30">
        <f>D13+D46</f>
        <v>2985706.2</v>
      </c>
      <c r="E47" s="30">
        <f>D47-C47</f>
        <v>36493.5</v>
      </c>
      <c r="F47" s="30">
        <f>F13+F46</f>
        <v>2951121.55</v>
      </c>
      <c r="G47" s="30">
        <f>G13+G46</f>
        <v>2969729.9000000004</v>
      </c>
    </row>
  </sheetData>
  <sheetProtection/>
  <mergeCells count="4">
    <mergeCell ref="A8:F8"/>
    <mergeCell ref="B10:B12"/>
    <mergeCell ref="A11:A12"/>
    <mergeCell ref="C10:G11"/>
  </mergeCells>
  <printOptions/>
  <pageMargins left="0.7086614173228347" right="0.11811023622047245" top="0.7480314960629921" bottom="0.35433070866141736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0"/>
  <sheetViews>
    <sheetView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K16" sqref="K16"/>
    </sheetView>
  </sheetViews>
  <sheetFormatPr defaultColWidth="97.8515625" defaultRowHeight="15"/>
  <cols>
    <col min="1" max="1" width="23.57421875" style="157" customWidth="1"/>
    <col min="2" max="2" width="59.140625" style="183" customWidth="1"/>
    <col min="3" max="3" width="12.7109375" style="159" hidden="1" customWidth="1"/>
    <col min="4" max="4" width="12.28125" style="186" customWidth="1"/>
    <col min="5" max="5" width="12.00390625" style="159" hidden="1" customWidth="1"/>
    <col min="6" max="7" width="11.8515625" style="157" customWidth="1"/>
    <col min="8" max="207" width="10.00390625" style="157" customWidth="1"/>
    <col min="208" max="208" width="25.421875" style="157" customWidth="1"/>
    <col min="209" max="16384" width="97.8515625" style="157" customWidth="1"/>
  </cols>
  <sheetData>
    <row r="1" spans="2:7" s="154" customFormat="1" ht="15">
      <c r="B1" s="155"/>
      <c r="C1" s="19"/>
      <c r="D1" s="26"/>
      <c r="E1" s="25"/>
      <c r="F1" s="26"/>
      <c r="G1" s="25" t="s">
        <v>0</v>
      </c>
    </row>
    <row r="2" spans="2:7" s="154" customFormat="1" ht="15">
      <c r="B2" s="155"/>
      <c r="C2" s="20"/>
      <c r="D2" s="26"/>
      <c r="E2" s="25"/>
      <c r="F2" s="26"/>
      <c r="G2" s="25" t="s">
        <v>1</v>
      </c>
    </row>
    <row r="3" spans="2:7" s="154" customFormat="1" ht="15">
      <c r="B3" s="155"/>
      <c r="C3" s="20"/>
      <c r="D3" s="26"/>
      <c r="E3" s="25"/>
      <c r="F3" s="26"/>
      <c r="G3" s="25" t="s">
        <v>2</v>
      </c>
    </row>
    <row r="4" spans="2:7" s="154" customFormat="1" ht="15">
      <c r="B4" s="155"/>
      <c r="C4" s="20"/>
      <c r="D4" s="26"/>
      <c r="E4" s="25"/>
      <c r="F4" s="26"/>
      <c r="G4" s="25" t="s">
        <v>1161</v>
      </c>
    </row>
    <row r="5" spans="2:7" s="154" customFormat="1" ht="15">
      <c r="B5" s="155"/>
      <c r="C5" s="20"/>
      <c r="D5" s="141"/>
      <c r="E5" s="25"/>
      <c r="F5" s="141"/>
      <c r="G5" s="25" t="s">
        <v>714</v>
      </c>
    </row>
    <row r="6" spans="2:5" s="154" customFormat="1" ht="15">
      <c r="B6" s="155"/>
      <c r="C6" s="156"/>
      <c r="D6" s="184"/>
      <c r="E6" s="156"/>
    </row>
    <row r="7" spans="2:5" s="154" customFormat="1" ht="15">
      <c r="B7" s="155"/>
      <c r="C7" s="156"/>
      <c r="D7" s="184"/>
      <c r="E7" s="156"/>
    </row>
    <row r="8" spans="1:5" ht="33.75" customHeight="1">
      <c r="A8" s="373" t="s">
        <v>1019</v>
      </c>
      <c r="B8" s="373"/>
      <c r="C8" s="374"/>
      <c r="D8" s="374"/>
      <c r="E8" s="374"/>
    </row>
    <row r="9" spans="1:5" ht="14.25" customHeight="1">
      <c r="A9" s="144"/>
      <c r="B9" s="144"/>
      <c r="C9" s="158"/>
      <c r="D9" s="185"/>
      <c r="E9" s="158"/>
    </row>
    <row r="10" spans="1:2" ht="14.25" customHeight="1">
      <c r="A10" s="159"/>
      <c r="B10" s="160"/>
    </row>
    <row r="11" spans="1:7" s="161" customFormat="1" ht="20.25" customHeight="1">
      <c r="A11" s="375" t="s">
        <v>581</v>
      </c>
      <c r="B11" s="376" t="s">
        <v>527</v>
      </c>
      <c r="C11" s="60"/>
      <c r="D11" s="379" t="s">
        <v>737</v>
      </c>
      <c r="E11" s="379"/>
      <c r="F11" s="379"/>
      <c r="G11" s="380"/>
    </row>
    <row r="12" spans="1:7" s="161" customFormat="1" ht="41.25" customHeight="1">
      <c r="A12" s="375"/>
      <c r="B12" s="376"/>
      <c r="C12" s="59" t="s">
        <v>1063</v>
      </c>
      <c r="D12" s="193" t="s">
        <v>845</v>
      </c>
      <c r="E12" s="193" t="s">
        <v>720</v>
      </c>
      <c r="F12" s="194" t="s">
        <v>749</v>
      </c>
      <c r="G12" s="194" t="s">
        <v>1017</v>
      </c>
    </row>
    <row r="13" spans="1:7" ht="21" customHeight="1">
      <c r="A13" s="28" t="s">
        <v>578</v>
      </c>
      <c r="B13" s="29" t="s">
        <v>579</v>
      </c>
      <c r="C13" s="23">
        <f>C14+C103</f>
        <v>2091555</v>
      </c>
      <c r="D13" s="23">
        <f>D14+D103</f>
        <v>2128048.5</v>
      </c>
      <c r="E13" s="23">
        <f>E14+E103</f>
        <v>36493.5</v>
      </c>
      <c r="F13" s="23">
        <f>F14+F103</f>
        <v>2052489.8499999999</v>
      </c>
      <c r="G13" s="23">
        <f>G14+G103</f>
        <v>2022615.9000000006</v>
      </c>
    </row>
    <row r="14" spans="1:7" ht="44.25" customHeight="1">
      <c r="A14" s="163" t="s">
        <v>943</v>
      </c>
      <c r="B14" s="164" t="s">
        <v>582</v>
      </c>
      <c r="C14" s="162">
        <f>C59+C15+C92+C18</f>
        <v>2091555</v>
      </c>
      <c r="D14" s="162">
        <f>D59+D15+D92+D18</f>
        <v>2128048.5</v>
      </c>
      <c r="E14" s="162">
        <f>D14-C14</f>
        <v>36493.5</v>
      </c>
      <c r="F14" s="162">
        <f>F15+F18+F59+F92</f>
        <v>2052489.8499999999</v>
      </c>
      <c r="G14" s="162">
        <f>G15+G18+G59+G92</f>
        <v>2022615.9000000006</v>
      </c>
    </row>
    <row r="15" spans="1:7" ht="33.75" customHeight="1">
      <c r="A15" s="28" t="s">
        <v>944</v>
      </c>
      <c r="B15" s="29" t="s">
        <v>583</v>
      </c>
      <c r="C15" s="162">
        <f>C16+C17</f>
        <v>95579.8</v>
      </c>
      <c r="D15" s="162">
        <f>D16+D17</f>
        <v>122032.3</v>
      </c>
      <c r="E15" s="162">
        <f>D15-C15</f>
        <v>26452.5</v>
      </c>
      <c r="F15" s="162">
        <f>F16+F17</f>
        <v>79869.1</v>
      </c>
      <c r="G15" s="162">
        <f>G16+G17</f>
        <v>84310.8</v>
      </c>
    </row>
    <row r="16" spans="1:7" ht="31.5" customHeight="1">
      <c r="A16" s="163" t="s">
        <v>945</v>
      </c>
      <c r="B16" s="164" t="s">
        <v>10</v>
      </c>
      <c r="C16" s="162">
        <v>95579.8</v>
      </c>
      <c r="D16" s="162">
        <v>95579.8</v>
      </c>
      <c r="E16" s="162">
        <f>D16-C16</f>
        <v>0</v>
      </c>
      <c r="F16" s="162">
        <v>79869.1</v>
      </c>
      <c r="G16" s="162">
        <v>84310.8</v>
      </c>
    </row>
    <row r="17" spans="1:7" ht="47.25" customHeight="1">
      <c r="A17" s="163" t="s">
        <v>932</v>
      </c>
      <c r="B17" s="164" t="s">
        <v>11</v>
      </c>
      <c r="C17" s="162"/>
      <c r="D17" s="162">
        <v>26452.5</v>
      </c>
      <c r="E17" s="162">
        <f>D17-C17</f>
        <v>26452.5</v>
      </c>
      <c r="F17" s="187"/>
      <c r="G17" s="187"/>
    </row>
    <row r="18" spans="1:7" ht="37.5" customHeight="1">
      <c r="A18" s="163" t="s">
        <v>955</v>
      </c>
      <c r="B18" s="164" t="s">
        <v>584</v>
      </c>
      <c r="C18" s="162">
        <f>C26+C20+C19+C25+C22+C21+C23+C24</f>
        <v>478486.3</v>
      </c>
      <c r="D18" s="162">
        <f>D26+D20+D19+D25+D22+D21+D23+D24</f>
        <v>478486.3</v>
      </c>
      <c r="E18" s="162">
        <f>D18-C18</f>
        <v>0</v>
      </c>
      <c r="F18" s="162">
        <f>F26+F20+F19+F25+F22+F21</f>
        <v>470318.04999999993</v>
      </c>
      <c r="G18" s="162">
        <f>G26+G20+G19+G25+G22+G21</f>
        <v>385553.3</v>
      </c>
    </row>
    <row r="19" spans="1:7" ht="49.5" customHeight="1">
      <c r="A19" s="165" t="s">
        <v>956</v>
      </c>
      <c r="B19" s="166" t="s">
        <v>24</v>
      </c>
      <c r="C19" s="167">
        <f>232000+13143.1+2500+13776.1</f>
        <v>261419.2</v>
      </c>
      <c r="D19" s="167">
        <f>232000+13143.1+2500+13776.1</f>
        <v>261419.2</v>
      </c>
      <c r="E19" s="167">
        <f aca="true" t="shared" si="0" ref="E19:E25">D19-C19</f>
        <v>0</v>
      </c>
      <c r="F19" s="187">
        <f>260000+149959.1</f>
        <v>409959.1</v>
      </c>
      <c r="G19" s="187">
        <f>204596+151077.8-13776.1</f>
        <v>341897.7</v>
      </c>
    </row>
    <row r="20" spans="1:7" ht="96" customHeight="1">
      <c r="A20" s="165" t="s">
        <v>957</v>
      </c>
      <c r="B20" s="168" t="s">
        <v>585</v>
      </c>
      <c r="C20" s="167"/>
      <c r="D20" s="167"/>
      <c r="E20" s="167">
        <f t="shared" si="0"/>
        <v>0</v>
      </c>
      <c r="F20" s="167">
        <v>22.2</v>
      </c>
      <c r="G20" s="167">
        <v>22.2</v>
      </c>
    </row>
    <row r="21" spans="1:7" ht="38.25" customHeight="1" hidden="1">
      <c r="A21" s="169" t="s">
        <v>941</v>
      </c>
      <c r="B21" s="168" t="s">
        <v>745</v>
      </c>
      <c r="C21" s="167"/>
      <c r="D21" s="167"/>
      <c r="E21" s="167">
        <f t="shared" si="0"/>
        <v>0</v>
      </c>
      <c r="F21" s="167"/>
      <c r="G21" s="167"/>
    </row>
    <row r="22" spans="1:7" ht="25.5" customHeight="1" hidden="1">
      <c r="A22" s="169" t="s">
        <v>958</v>
      </c>
      <c r="B22" s="168" t="s">
        <v>942</v>
      </c>
      <c r="C22" s="167"/>
      <c r="D22" s="167"/>
      <c r="E22" s="167">
        <f t="shared" si="0"/>
        <v>0</v>
      </c>
      <c r="F22" s="167"/>
      <c r="G22" s="167"/>
    </row>
    <row r="23" spans="1:7" ht="60" customHeight="1">
      <c r="A23" s="169" t="s">
        <v>999</v>
      </c>
      <c r="B23" s="168" t="s">
        <v>1000</v>
      </c>
      <c r="C23" s="167">
        <v>1130.2</v>
      </c>
      <c r="D23" s="167">
        <v>1130.2</v>
      </c>
      <c r="E23" s="167">
        <f t="shared" si="0"/>
        <v>0</v>
      </c>
      <c r="F23" s="167"/>
      <c r="G23" s="167"/>
    </row>
    <row r="24" spans="1:7" ht="61.5" customHeight="1">
      <c r="A24" s="169" t="s">
        <v>1090</v>
      </c>
      <c r="B24" s="168" t="s">
        <v>1091</v>
      </c>
      <c r="C24" s="167">
        <v>9140</v>
      </c>
      <c r="D24" s="167">
        <v>9140</v>
      </c>
      <c r="E24" s="167">
        <f t="shared" si="0"/>
        <v>0</v>
      </c>
      <c r="F24" s="167"/>
      <c r="G24" s="167"/>
    </row>
    <row r="25" spans="1:7" ht="36.75" customHeight="1">
      <c r="A25" s="165" t="s">
        <v>959</v>
      </c>
      <c r="B25" s="170" t="s">
        <v>637</v>
      </c>
      <c r="C25" s="167">
        <f>723+300.1</f>
        <v>1023.1</v>
      </c>
      <c r="D25" s="167">
        <f>723+300.1</f>
        <v>1023.1</v>
      </c>
      <c r="E25" s="167">
        <f t="shared" si="0"/>
        <v>0</v>
      </c>
      <c r="F25" s="167">
        <f>723+300.1</f>
        <v>1023.1</v>
      </c>
      <c r="G25" s="167">
        <f>723+300.1</f>
        <v>1023.1</v>
      </c>
    </row>
    <row r="26" spans="1:7" ht="21.75" customHeight="1">
      <c r="A26" s="381" t="s">
        <v>933</v>
      </c>
      <c r="B26" s="166" t="s">
        <v>12</v>
      </c>
      <c r="C26" s="167">
        <f>SUM(C27:C58)</f>
        <v>205773.8</v>
      </c>
      <c r="D26" s="167">
        <f>SUM(D27:D58)</f>
        <v>205773.8</v>
      </c>
      <c r="E26" s="167">
        <f>D26-C26</f>
        <v>0</v>
      </c>
      <c r="F26" s="167">
        <f>SUM(F27:F53)</f>
        <v>59313.65</v>
      </c>
      <c r="G26" s="167">
        <f>SUM(G27:G53)</f>
        <v>42610.3</v>
      </c>
    </row>
    <row r="27" spans="1:7" ht="14.25" customHeight="1">
      <c r="A27" s="382"/>
      <c r="B27" s="166" t="s">
        <v>586</v>
      </c>
      <c r="C27" s="167">
        <f>40.5-30.2</f>
        <v>10.3</v>
      </c>
      <c r="D27" s="167">
        <f>40.5-30.2</f>
        <v>10.3</v>
      </c>
      <c r="E27" s="167">
        <f aca="true" t="shared" si="1" ref="E27:E35">D27-C27</f>
        <v>0</v>
      </c>
      <c r="F27" s="167">
        <v>40.5</v>
      </c>
      <c r="G27" s="167">
        <v>40.5</v>
      </c>
    </row>
    <row r="28" spans="1:7" ht="47.25" customHeight="1" hidden="1">
      <c r="A28" s="382"/>
      <c r="B28" s="166" t="s">
        <v>587</v>
      </c>
      <c r="C28" s="167"/>
      <c r="D28" s="167"/>
      <c r="E28" s="167">
        <f t="shared" si="1"/>
        <v>0</v>
      </c>
      <c r="F28" s="167"/>
      <c r="G28" s="167"/>
    </row>
    <row r="29" spans="1:7" ht="35.25" customHeight="1" hidden="1">
      <c r="A29" s="382"/>
      <c r="B29" s="166" t="s">
        <v>588</v>
      </c>
      <c r="C29" s="165"/>
      <c r="D29" s="167"/>
      <c r="E29" s="167">
        <f t="shared" si="1"/>
        <v>0</v>
      </c>
      <c r="F29" s="167"/>
      <c r="G29" s="167"/>
    </row>
    <row r="30" spans="1:7" ht="40.5" customHeight="1" hidden="1">
      <c r="A30" s="382"/>
      <c r="B30" s="166" t="s">
        <v>589</v>
      </c>
      <c r="C30" s="167"/>
      <c r="D30" s="167"/>
      <c r="E30" s="167">
        <f t="shared" si="1"/>
        <v>0</v>
      </c>
      <c r="F30" s="167"/>
      <c r="G30" s="167"/>
    </row>
    <row r="31" spans="1:7" ht="34.5" customHeight="1">
      <c r="A31" s="382"/>
      <c r="B31" s="166" t="s">
        <v>590</v>
      </c>
      <c r="C31" s="167">
        <v>1905.9</v>
      </c>
      <c r="D31" s="167">
        <v>1905.9</v>
      </c>
      <c r="E31" s="167">
        <f t="shared" si="1"/>
        <v>0</v>
      </c>
      <c r="F31" s="167">
        <v>2112.9</v>
      </c>
      <c r="G31" s="167">
        <v>1905.9</v>
      </c>
    </row>
    <row r="32" spans="1:7" ht="30.75" customHeight="1">
      <c r="A32" s="382"/>
      <c r="B32" s="166" t="s">
        <v>591</v>
      </c>
      <c r="C32" s="167">
        <v>1882.8</v>
      </c>
      <c r="D32" s="167">
        <v>1882.8</v>
      </c>
      <c r="E32" s="167">
        <f t="shared" si="1"/>
        <v>0</v>
      </c>
      <c r="F32" s="167">
        <v>1882.8</v>
      </c>
      <c r="G32" s="167">
        <v>1882.8</v>
      </c>
    </row>
    <row r="33" spans="1:7" ht="30.75" customHeight="1">
      <c r="A33" s="382"/>
      <c r="B33" s="166" t="s">
        <v>592</v>
      </c>
      <c r="C33" s="167">
        <v>11465.4</v>
      </c>
      <c r="D33" s="167">
        <v>11465.4</v>
      </c>
      <c r="E33" s="167">
        <f t="shared" si="1"/>
        <v>0</v>
      </c>
      <c r="F33" s="167">
        <v>9485.4</v>
      </c>
      <c r="G33" s="167">
        <v>9485.4</v>
      </c>
    </row>
    <row r="34" spans="1:7" ht="36.75" customHeight="1">
      <c r="A34" s="382"/>
      <c r="B34" s="166" t="s">
        <v>593</v>
      </c>
      <c r="C34" s="167">
        <v>432</v>
      </c>
      <c r="D34" s="167">
        <v>432</v>
      </c>
      <c r="E34" s="167">
        <f t="shared" si="1"/>
        <v>0</v>
      </c>
      <c r="F34" s="167">
        <v>432</v>
      </c>
      <c r="G34" s="167">
        <v>432</v>
      </c>
    </row>
    <row r="35" spans="1:7" ht="30.75" customHeight="1">
      <c r="A35" s="382"/>
      <c r="B35" s="170" t="s">
        <v>960</v>
      </c>
      <c r="C35" s="167">
        <v>734</v>
      </c>
      <c r="D35" s="167">
        <v>734</v>
      </c>
      <c r="E35" s="167">
        <f t="shared" si="1"/>
        <v>0</v>
      </c>
      <c r="F35" s="167">
        <v>556.6</v>
      </c>
      <c r="G35" s="167">
        <v>556.6</v>
      </c>
    </row>
    <row r="36" spans="1:7" ht="24" customHeight="1" hidden="1">
      <c r="A36" s="382"/>
      <c r="B36" s="166" t="s">
        <v>594</v>
      </c>
      <c r="C36" s="167"/>
      <c r="D36" s="167"/>
      <c r="E36" s="167">
        <f aca="true" t="shared" si="2" ref="E36:E49">D36-C36</f>
        <v>0</v>
      </c>
      <c r="F36" s="167"/>
      <c r="G36" s="167"/>
    </row>
    <row r="37" spans="1:7" ht="40.5" customHeight="1" hidden="1">
      <c r="A37" s="382"/>
      <c r="B37" s="166" t="s">
        <v>595</v>
      </c>
      <c r="C37" s="167"/>
      <c r="D37" s="167"/>
      <c r="E37" s="167">
        <f t="shared" si="2"/>
        <v>0</v>
      </c>
      <c r="F37" s="167"/>
      <c r="G37" s="167"/>
    </row>
    <row r="38" spans="1:7" ht="31.5" customHeight="1" hidden="1">
      <c r="A38" s="382"/>
      <c r="B38" s="166" t="s">
        <v>596</v>
      </c>
      <c r="C38" s="167"/>
      <c r="D38" s="167"/>
      <c r="E38" s="167">
        <f t="shared" si="2"/>
        <v>0</v>
      </c>
      <c r="F38" s="167"/>
      <c r="G38" s="167"/>
    </row>
    <row r="39" spans="1:7" ht="32.25" customHeight="1">
      <c r="A39" s="382"/>
      <c r="B39" s="166" t="s">
        <v>713</v>
      </c>
      <c r="C39" s="167">
        <v>6307.1</v>
      </c>
      <c r="D39" s="167">
        <v>6307.1</v>
      </c>
      <c r="E39" s="167">
        <f t="shared" si="2"/>
        <v>0</v>
      </c>
      <c r="F39" s="167">
        <v>6307.1</v>
      </c>
      <c r="G39" s="167">
        <v>6307.1</v>
      </c>
    </row>
    <row r="40" spans="1:7" ht="36.75" customHeight="1" hidden="1">
      <c r="A40" s="382"/>
      <c r="B40" s="166" t="s">
        <v>597</v>
      </c>
      <c r="C40" s="165"/>
      <c r="D40" s="167"/>
      <c r="E40" s="167">
        <f t="shared" si="2"/>
        <v>0</v>
      </c>
      <c r="F40" s="187"/>
      <c r="G40" s="187"/>
    </row>
    <row r="41" spans="1:7" ht="24" customHeight="1">
      <c r="A41" s="382"/>
      <c r="B41" s="166" t="s">
        <v>598</v>
      </c>
      <c r="C41" s="167">
        <v>86903.2</v>
      </c>
      <c r="D41" s="167">
        <v>86903.2</v>
      </c>
      <c r="E41" s="167">
        <f t="shared" si="2"/>
        <v>0</v>
      </c>
      <c r="F41" s="187"/>
      <c r="G41" s="187"/>
    </row>
    <row r="42" spans="1:7" ht="19.5" customHeight="1">
      <c r="A42" s="382"/>
      <c r="B42" s="166" t="s">
        <v>1089</v>
      </c>
      <c r="C42" s="167">
        <v>43360.5</v>
      </c>
      <c r="D42" s="167">
        <v>43360.5</v>
      </c>
      <c r="E42" s="167">
        <f t="shared" si="2"/>
        <v>0</v>
      </c>
      <c r="F42" s="187">
        <v>14409.55</v>
      </c>
      <c r="G42" s="187"/>
    </row>
    <row r="43" spans="1:7" ht="23.25" customHeight="1" hidden="1">
      <c r="A43" s="382"/>
      <c r="B43" s="166" t="s">
        <v>599</v>
      </c>
      <c r="C43" s="165"/>
      <c r="D43" s="167"/>
      <c r="E43" s="167">
        <f t="shared" si="2"/>
        <v>0</v>
      </c>
      <c r="F43" s="187"/>
      <c r="G43" s="187"/>
    </row>
    <row r="44" spans="1:7" ht="33" customHeight="1">
      <c r="A44" s="382"/>
      <c r="B44" s="166" t="s">
        <v>600</v>
      </c>
      <c r="C44" s="167">
        <v>1147.3</v>
      </c>
      <c r="D44" s="167">
        <v>1147.3</v>
      </c>
      <c r="E44" s="167">
        <f t="shared" si="2"/>
        <v>0</v>
      </c>
      <c r="F44" s="167"/>
      <c r="G44" s="167"/>
    </row>
    <row r="45" spans="1:7" ht="41.25" customHeight="1" hidden="1">
      <c r="A45" s="382"/>
      <c r="B45" s="166" t="s">
        <v>601</v>
      </c>
      <c r="C45" s="165"/>
      <c r="D45" s="167"/>
      <c r="E45" s="167">
        <f t="shared" si="2"/>
        <v>0</v>
      </c>
      <c r="F45" s="187"/>
      <c r="G45" s="187"/>
    </row>
    <row r="46" spans="1:7" ht="38.25" customHeight="1" hidden="1">
      <c r="A46" s="382"/>
      <c r="B46" s="166" t="s">
        <v>602</v>
      </c>
      <c r="C46" s="165"/>
      <c r="D46" s="167"/>
      <c r="E46" s="167">
        <f t="shared" si="2"/>
        <v>0</v>
      </c>
      <c r="F46" s="187"/>
      <c r="G46" s="187"/>
    </row>
    <row r="47" spans="1:7" ht="31.5" customHeight="1">
      <c r="A47" s="382"/>
      <c r="B47" s="166" t="s">
        <v>1077</v>
      </c>
      <c r="C47" s="167">
        <f>11000+11000</f>
        <v>22000</v>
      </c>
      <c r="D47" s="167">
        <f>11000+11000</f>
        <v>22000</v>
      </c>
      <c r="E47" s="167">
        <f t="shared" si="2"/>
        <v>0</v>
      </c>
      <c r="F47" s="167">
        <v>22000</v>
      </c>
      <c r="G47" s="167">
        <v>22000</v>
      </c>
    </row>
    <row r="48" spans="1:7" ht="44.25" customHeight="1">
      <c r="A48" s="382"/>
      <c r="B48" s="166" t="s">
        <v>1104</v>
      </c>
      <c r="C48" s="167">
        <v>1745.8</v>
      </c>
      <c r="D48" s="167">
        <v>1745.8</v>
      </c>
      <c r="E48" s="167">
        <f t="shared" si="2"/>
        <v>0</v>
      </c>
      <c r="F48" s="167">
        <v>1815</v>
      </c>
      <c r="G48" s="167"/>
    </row>
    <row r="49" spans="1:7" ht="51" customHeight="1" hidden="1">
      <c r="A49" s="382"/>
      <c r="B49" s="166" t="s">
        <v>603</v>
      </c>
      <c r="C49" s="171"/>
      <c r="D49" s="167"/>
      <c r="E49" s="167">
        <f t="shared" si="2"/>
        <v>0</v>
      </c>
      <c r="F49" s="187"/>
      <c r="G49" s="187"/>
    </row>
    <row r="50" spans="1:7" ht="48" customHeight="1">
      <c r="A50" s="382"/>
      <c r="B50" s="166" t="s">
        <v>1105</v>
      </c>
      <c r="C50" s="167">
        <f>124.1+250.3-124.1</f>
        <v>250.29999999999998</v>
      </c>
      <c r="D50" s="167">
        <f>124.1+250.3-124.1</f>
        <v>250.29999999999998</v>
      </c>
      <c r="E50" s="167">
        <f aca="true" t="shared" si="3" ref="E50:E59">D50-C50</f>
        <v>0</v>
      </c>
      <c r="F50" s="167">
        <f>124.7-0.6+271.8-124.1</f>
        <v>271.80000000000007</v>
      </c>
      <c r="G50" s="167">
        <f>124.7-124.7</f>
        <v>0</v>
      </c>
    </row>
    <row r="51" spans="1:7" ht="70.5" customHeight="1">
      <c r="A51" s="382"/>
      <c r="B51" s="166" t="s">
        <v>1118</v>
      </c>
      <c r="C51" s="167">
        <v>900</v>
      </c>
      <c r="D51" s="167">
        <v>900</v>
      </c>
      <c r="E51" s="167">
        <f t="shared" si="3"/>
        <v>0</v>
      </c>
      <c r="F51" s="167"/>
      <c r="G51" s="167"/>
    </row>
    <row r="52" spans="1:7" ht="40.5" customHeight="1" hidden="1">
      <c r="A52" s="382"/>
      <c r="B52" s="166" t="s">
        <v>604</v>
      </c>
      <c r="C52" s="171"/>
      <c r="D52" s="167"/>
      <c r="E52" s="167">
        <f t="shared" si="3"/>
        <v>0</v>
      </c>
      <c r="F52" s="162"/>
      <c r="G52" s="162"/>
    </row>
    <row r="53" spans="1:7" ht="40.5" customHeight="1" hidden="1">
      <c r="A53" s="382"/>
      <c r="B53" s="166" t="s">
        <v>967</v>
      </c>
      <c r="C53" s="167"/>
      <c r="D53" s="167"/>
      <c r="E53" s="167">
        <f t="shared" si="3"/>
        <v>0</v>
      </c>
      <c r="F53" s="167"/>
      <c r="G53" s="167"/>
    </row>
    <row r="54" spans="1:7" ht="28.5" customHeight="1" hidden="1">
      <c r="A54" s="383"/>
      <c r="B54" s="166" t="s">
        <v>604</v>
      </c>
      <c r="C54" s="167"/>
      <c r="D54" s="167"/>
      <c r="E54" s="167">
        <f t="shared" si="3"/>
        <v>0</v>
      </c>
      <c r="F54" s="167"/>
      <c r="G54" s="167"/>
    </row>
    <row r="55" spans="1:7" ht="33.75" customHeight="1" hidden="1">
      <c r="A55" s="383"/>
      <c r="B55" s="166" t="s">
        <v>988</v>
      </c>
      <c r="C55" s="167"/>
      <c r="D55" s="167"/>
      <c r="E55" s="167">
        <f t="shared" si="3"/>
        <v>0</v>
      </c>
      <c r="F55" s="167"/>
      <c r="G55" s="167"/>
    </row>
    <row r="56" spans="1:7" ht="21" customHeight="1">
      <c r="A56" s="383"/>
      <c r="B56" s="166" t="s">
        <v>1096</v>
      </c>
      <c r="C56" s="167">
        <v>2376</v>
      </c>
      <c r="D56" s="167">
        <v>2376</v>
      </c>
      <c r="E56" s="167">
        <f t="shared" si="3"/>
        <v>0</v>
      </c>
      <c r="F56" s="167">
        <v>2376</v>
      </c>
      <c r="G56" s="167">
        <v>2376</v>
      </c>
    </row>
    <row r="57" spans="1:7" ht="32.25" customHeight="1">
      <c r="A57" s="383"/>
      <c r="B57" s="166" t="s">
        <v>1078</v>
      </c>
      <c r="C57" s="167">
        <v>11110</v>
      </c>
      <c r="D57" s="167">
        <v>11110</v>
      </c>
      <c r="E57" s="167">
        <f t="shared" si="3"/>
        <v>0</v>
      </c>
      <c r="F57" s="167"/>
      <c r="G57" s="167"/>
    </row>
    <row r="58" spans="1:7" ht="33" customHeight="1">
      <c r="A58" s="384"/>
      <c r="B58" s="166" t="s">
        <v>1099</v>
      </c>
      <c r="C58" s="167">
        <v>13243.2</v>
      </c>
      <c r="D58" s="167">
        <v>13243.2</v>
      </c>
      <c r="E58" s="167">
        <f t="shared" si="3"/>
        <v>0</v>
      </c>
      <c r="F58" s="167"/>
      <c r="G58" s="167"/>
    </row>
    <row r="59" spans="1:7" ht="37.5" customHeight="1">
      <c r="A59" s="163" t="s">
        <v>946</v>
      </c>
      <c r="B59" s="164" t="s">
        <v>605</v>
      </c>
      <c r="C59" s="162">
        <f>C60+C83+C84+C85+C80+C91+C88+C87+C86+C89+C90</f>
        <v>1512546.2</v>
      </c>
      <c r="D59" s="162">
        <f>D60+D83+D84+D85+D80+D91+D88+D87+D86+D89+D90</f>
        <v>1512546.2</v>
      </c>
      <c r="E59" s="162">
        <f t="shared" si="3"/>
        <v>0</v>
      </c>
      <c r="F59" s="162">
        <f>F60+F83+F84+F85+F80+F91+F88+F87+F86+F89+F90</f>
        <v>1498507.4</v>
      </c>
      <c r="G59" s="162">
        <f>G60+G83+G84+G85+G80+G91+G88+G87+G86+G89+G90</f>
        <v>1548993.5000000005</v>
      </c>
    </row>
    <row r="60" spans="1:7" ht="34.5" customHeight="1">
      <c r="A60" s="370" t="s">
        <v>947</v>
      </c>
      <c r="B60" s="166" t="s">
        <v>606</v>
      </c>
      <c r="C60" s="167">
        <f>SUM(C61:C79)</f>
        <v>1410246.3</v>
      </c>
      <c r="D60" s="167">
        <f>SUM(D61:D79)</f>
        <v>1393808.3</v>
      </c>
      <c r="E60" s="167">
        <f>D60-C60</f>
        <v>-16438</v>
      </c>
      <c r="F60" s="167">
        <f>SUM(F61:F79)</f>
        <v>1381822.6</v>
      </c>
      <c r="G60" s="167">
        <f>SUM(G61:G79)</f>
        <v>1432677.3000000003</v>
      </c>
    </row>
    <row r="61" spans="1:7" ht="123" customHeight="1">
      <c r="A61" s="371"/>
      <c r="B61" s="173" t="s">
        <v>673</v>
      </c>
      <c r="C61" s="167">
        <v>545567.5</v>
      </c>
      <c r="D61" s="167">
        <v>545567.5</v>
      </c>
      <c r="E61" s="167">
        <f aca="true" t="shared" si="4" ref="E61:E72">D61-C61</f>
        <v>0</v>
      </c>
      <c r="F61" s="167">
        <v>524370.8</v>
      </c>
      <c r="G61" s="167">
        <v>545345.6</v>
      </c>
    </row>
    <row r="62" spans="1:7" ht="64.5" customHeight="1">
      <c r="A62" s="371"/>
      <c r="B62" s="166" t="s">
        <v>607</v>
      </c>
      <c r="C62" s="167">
        <v>23398.3</v>
      </c>
      <c r="D62" s="167">
        <v>23398.3</v>
      </c>
      <c r="E62" s="167">
        <f t="shared" si="4"/>
        <v>0</v>
      </c>
      <c r="F62" s="167">
        <v>23398.3</v>
      </c>
      <c r="G62" s="167">
        <v>23398.3</v>
      </c>
    </row>
    <row r="63" spans="1:7" ht="32.25" customHeight="1">
      <c r="A63" s="371"/>
      <c r="B63" s="166" t="s">
        <v>674</v>
      </c>
      <c r="C63" s="167">
        <v>10181.5</v>
      </c>
      <c r="D63" s="167">
        <v>10181.5</v>
      </c>
      <c r="E63" s="167">
        <f>D63-C63</f>
        <v>0</v>
      </c>
      <c r="F63" s="167">
        <v>10181.5</v>
      </c>
      <c r="G63" s="167">
        <v>10181.5</v>
      </c>
    </row>
    <row r="64" spans="1:7" ht="128.25" customHeight="1">
      <c r="A64" s="371"/>
      <c r="B64" s="170" t="s">
        <v>608</v>
      </c>
      <c r="C64" s="167">
        <f>41449.9+402+10658</f>
        <v>52509.9</v>
      </c>
      <c r="D64" s="167">
        <f>41449.9+402+10658-16438</f>
        <v>36071.9</v>
      </c>
      <c r="E64" s="167">
        <f t="shared" si="4"/>
        <v>-16438</v>
      </c>
      <c r="F64" s="167">
        <f>41449.9+288.7</f>
        <v>41738.6</v>
      </c>
      <c r="G64" s="167">
        <f>41449.9+286.9</f>
        <v>41736.8</v>
      </c>
    </row>
    <row r="65" spans="1:7" ht="33.75" customHeight="1">
      <c r="A65" s="371"/>
      <c r="B65" s="166" t="s">
        <v>675</v>
      </c>
      <c r="C65" s="167">
        <v>1708.2</v>
      </c>
      <c r="D65" s="167">
        <v>1708.2</v>
      </c>
      <c r="E65" s="167">
        <f>D65-C65</f>
        <v>0</v>
      </c>
      <c r="F65" s="167">
        <v>1708.2</v>
      </c>
      <c r="G65" s="167">
        <v>1708.2</v>
      </c>
    </row>
    <row r="66" spans="1:7" ht="109.5" customHeight="1">
      <c r="A66" s="371"/>
      <c r="B66" s="173" t="s">
        <v>676</v>
      </c>
      <c r="C66" s="167">
        <f>998.4+39.9</f>
        <v>1038.3</v>
      </c>
      <c r="D66" s="167">
        <f>998.4+39.9</f>
        <v>1038.3</v>
      </c>
      <c r="E66" s="167">
        <f t="shared" si="4"/>
        <v>0</v>
      </c>
      <c r="F66" s="167">
        <v>998.4</v>
      </c>
      <c r="G66" s="167">
        <v>998.4</v>
      </c>
    </row>
    <row r="67" spans="1:7" ht="110.25" customHeight="1">
      <c r="A67" s="371"/>
      <c r="B67" s="176" t="s">
        <v>609</v>
      </c>
      <c r="C67" s="167">
        <v>160</v>
      </c>
      <c r="D67" s="167">
        <v>160</v>
      </c>
      <c r="E67" s="167">
        <f t="shared" si="4"/>
        <v>0</v>
      </c>
      <c r="F67" s="167">
        <v>160</v>
      </c>
      <c r="G67" s="167">
        <v>160</v>
      </c>
    </row>
    <row r="68" spans="1:7" ht="53.25" customHeight="1">
      <c r="A68" s="371"/>
      <c r="B68" s="166" t="s">
        <v>677</v>
      </c>
      <c r="C68" s="167">
        <v>91.5</v>
      </c>
      <c r="D68" s="167">
        <v>91.5</v>
      </c>
      <c r="E68" s="167">
        <f>D68-C68</f>
        <v>0</v>
      </c>
      <c r="F68" s="167">
        <v>91.5</v>
      </c>
      <c r="G68" s="167">
        <v>91.5</v>
      </c>
    </row>
    <row r="69" spans="1:7" ht="183" customHeight="1">
      <c r="A69" s="371"/>
      <c r="B69" s="188" t="s">
        <v>875</v>
      </c>
      <c r="C69" s="167">
        <v>5285.6</v>
      </c>
      <c r="D69" s="167">
        <v>5285.6</v>
      </c>
      <c r="E69" s="167">
        <f t="shared" si="4"/>
        <v>0</v>
      </c>
      <c r="F69" s="167">
        <v>5285.6</v>
      </c>
      <c r="G69" s="167">
        <v>5285.6</v>
      </c>
    </row>
    <row r="70" spans="1:7" ht="139.5" customHeight="1">
      <c r="A70" s="371"/>
      <c r="B70" s="173" t="s">
        <v>610</v>
      </c>
      <c r="C70" s="167">
        <v>590872.3</v>
      </c>
      <c r="D70" s="167">
        <v>590872.3</v>
      </c>
      <c r="E70" s="167">
        <f>D70-C70</f>
        <v>0</v>
      </c>
      <c r="F70" s="167">
        <v>588382.4</v>
      </c>
      <c r="G70" s="167">
        <v>611917.7</v>
      </c>
    </row>
    <row r="71" spans="1:7" ht="105" hidden="1">
      <c r="A71" s="371"/>
      <c r="B71" s="173" t="s">
        <v>678</v>
      </c>
      <c r="C71" s="167">
        <f>524.1-524.1</f>
        <v>0</v>
      </c>
      <c r="D71" s="167">
        <f>524.1-524.1</f>
        <v>0</v>
      </c>
      <c r="E71" s="167">
        <f t="shared" si="4"/>
        <v>0</v>
      </c>
      <c r="F71" s="167">
        <f>524.1-524.1</f>
        <v>0</v>
      </c>
      <c r="G71" s="167">
        <f>524.1-524.1</f>
        <v>0</v>
      </c>
    </row>
    <row r="72" spans="1:7" ht="24" customHeight="1">
      <c r="A72" s="371"/>
      <c r="B72" s="166" t="s">
        <v>611</v>
      </c>
      <c r="C72" s="167">
        <v>7707.3</v>
      </c>
      <c r="D72" s="167">
        <v>7707.3</v>
      </c>
      <c r="E72" s="167">
        <f t="shared" si="4"/>
        <v>0</v>
      </c>
      <c r="F72" s="167">
        <v>7772.7</v>
      </c>
      <c r="G72" s="167">
        <v>7840.7</v>
      </c>
    </row>
    <row r="73" spans="1:7" ht="28.5" customHeight="1">
      <c r="A73" s="371"/>
      <c r="B73" s="166" t="s">
        <v>612</v>
      </c>
      <c r="C73" s="167">
        <f>3815.7-0.1</f>
        <v>3815.6</v>
      </c>
      <c r="D73" s="167">
        <f>3815.7-0.1</f>
        <v>3815.6</v>
      </c>
      <c r="E73" s="167">
        <f>D73-C73</f>
        <v>0</v>
      </c>
      <c r="F73" s="167">
        <v>3968.3</v>
      </c>
      <c r="G73" s="167">
        <v>4127</v>
      </c>
    </row>
    <row r="74" spans="1:7" ht="15">
      <c r="A74" s="371"/>
      <c r="B74" s="166" t="s">
        <v>613</v>
      </c>
      <c r="C74" s="147">
        <v>797</v>
      </c>
      <c r="D74" s="147">
        <v>797</v>
      </c>
      <c r="E74" s="167">
        <f aca="true" t="shared" si="5" ref="E74:E79">D74-C74</f>
        <v>0</v>
      </c>
      <c r="F74" s="147">
        <v>826.2</v>
      </c>
      <c r="G74" s="147">
        <v>856.6</v>
      </c>
    </row>
    <row r="75" spans="1:7" ht="17.25" customHeight="1">
      <c r="A75" s="371"/>
      <c r="B75" s="166" t="s">
        <v>614</v>
      </c>
      <c r="C75" s="167">
        <f>720.6-240.9</f>
        <v>479.70000000000005</v>
      </c>
      <c r="D75" s="167">
        <f>720.6-240.9</f>
        <v>479.70000000000005</v>
      </c>
      <c r="E75" s="167">
        <f t="shared" si="5"/>
        <v>0</v>
      </c>
      <c r="F75" s="167">
        <v>720.6</v>
      </c>
      <c r="G75" s="167">
        <v>720.6</v>
      </c>
    </row>
    <row r="76" spans="1:7" ht="30">
      <c r="A76" s="371"/>
      <c r="B76" s="166" t="s">
        <v>615</v>
      </c>
      <c r="C76" s="167">
        <v>3041</v>
      </c>
      <c r="D76" s="167">
        <v>3041</v>
      </c>
      <c r="E76" s="167">
        <f t="shared" si="5"/>
        <v>0</v>
      </c>
      <c r="F76" s="167">
        <v>3162.7</v>
      </c>
      <c r="G76" s="167">
        <v>3289.2</v>
      </c>
    </row>
    <row r="77" spans="1:7" ht="97.5" customHeight="1">
      <c r="A77" s="371"/>
      <c r="B77" s="173" t="s">
        <v>679</v>
      </c>
      <c r="C77" s="167">
        <f>1312.1+779.9-93</f>
        <v>1999</v>
      </c>
      <c r="D77" s="167">
        <f>1312.1+779.9-93</f>
        <v>1999</v>
      </c>
      <c r="E77" s="167">
        <f t="shared" si="5"/>
        <v>0</v>
      </c>
      <c r="F77" s="167">
        <v>1656.1</v>
      </c>
      <c r="G77" s="167">
        <v>1656.1</v>
      </c>
    </row>
    <row r="78" spans="1:7" ht="46.5" customHeight="1">
      <c r="A78" s="371"/>
      <c r="B78" s="172" t="s">
        <v>616</v>
      </c>
      <c r="C78" s="167">
        <v>160105.4</v>
      </c>
      <c r="D78" s="167">
        <v>160105.4</v>
      </c>
      <c r="E78" s="167">
        <f t="shared" si="5"/>
        <v>0</v>
      </c>
      <c r="F78" s="167">
        <v>165912.5</v>
      </c>
      <c r="G78" s="167">
        <v>171875.3</v>
      </c>
    </row>
    <row r="79" spans="1:7" ht="20.25" customHeight="1">
      <c r="A79" s="372"/>
      <c r="B79" s="174" t="s">
        <v>617</v>
      </c>
      <c r="C79" s="167">
        <v>1488.2</v>
      </c>
      <c r="D79" s="167">
        <v>1488.2</v>
      </c>
      <c r="E79" s="167">
        <f t="shared" si="5"/>
        <v>0</v>
      </c>
      <c r="F79" s="167">
        <v>1488.2</v>
      </c>
      <c r="G79" s="167">
        <v>1488.2</v>
      </c>
    </row>
    <row r="80" spans="1:7" ht="50.25" customHeight="1">
      <c r="A80" s="367" t="s">
        <v>934</v>
      </c>
      <c r="B80" s="174" t="s">
        <v>14</v>
      </c>
      <c r="C80" s="167">
        <f>C81+C82</f>
        <v>52944.2</v>
      </c>
      <c r="D80" s="167">
        <f>D81+D82</f>
        <v>52944.2</v>
      </c>
      <c r="E80" s="167">
        <f>D80-C80</f>
        <v>0</v>
      </c>
      <c r="F80" s="167">
        <f>F81+F82</f>
        <v>52944.2</v>
      </c>
      <c r="G80" s="167">
        <f>G81+G82</f>
        <v>52944.2</v>
      </c>
    </row>
    <row r="81" spans="1:7" ht="30">
      <c r="A81" s="368"/>
      <c r="B81" s="166" t="s">
        <v>618</v>
      </c>
      <c r="C81" s="167">
        <f>17378.1+292.7</f>
        <v>17670.8</v>
      </c>
      <c r="D81" s="167">
        <f>17378.1+292.7</f>
        <v>17670.8</v>
      </c>
      <c r="E81" s="167">
        <f aca="true" t="shared" si="6" ref="E81:E92">D81-C81</f>
        <v>0</v>
      </c>
      <c r="F81" s="167">
        <v>17670.8</v>
      </c>
      <c r="G81" s="167">
        <v>17670.8</v>
      </c>
    </row>
    <row r="82" spans="1:7" ht="51.75" customHeight="1">
      <c r="A82" s="369"/>
      <c r="B82" s="166" t="s">
        <v>619</v>
      </c>
      <c r="C82" s="167">
        <v>35273.4</v>
      </c>
      <c r="D82" s="167">
        <v>35273.4</v>
      </c>
      <c r="E82" s="167">
        <f t="shared" si="6"/>
        <v>0</v>
      </c>
      <c r="F82" s="167">
        <v>35273.4</v>
      </c>
      <c r="G82" s="167">
        <v>35273.4</v>
      </c>
    </row>
    <row r="83" spans="1:7" ht="277.5" customHeight="1">
      <c r="A83" s="165" t="s">
        <v>935</v>
      </c>
      <c r="B83" s="188" t="s">
        <v>874</v>
      </c>
      <c r="C83" s="167">
        <f>29250.5+535.9-662.2</f>
        <v>29124.2</v>
      </c>
      <c r="D83" s="167">
        <f>29250.5+535.9-662.2</f>
        <v>29124.2</v>
      </c>
      <c r="E83" s="167">
        <f t="shared" si="6"/>
        <v>0</v>
      </c>
      <c r="F83" s="167">
        <f>29250.5-762.6</f>
        <v>28487.9</v>
      </c>
      <c r="G83" s="167">
        <v>28487.9</v>
      </c>
    </row>
    <row r="84" spans="1:7" ht="67.5" customHeight="1">
      <c r="A84" s="165" t="s">
        <v>948</v>
      </c>
      <c r="B84" s="188" t="s">
        <v>15</v>
      </c>
      <c r="C84" s="167">
        <f>14+58.6</f>
        <v>72.6</v>
      </c>
      <c r="D84" s="167">
        <f>14+58.6</f>
        <v>72.6</v>
      </c>
      <c r="E84" s="167">
        <f t="shared" si="6"/>
        <v>0</v>
      </c>
      <c r="F84" s="167">
        <f>14.8+24.2</f>
        <v>39</v>
      </c>
      <c r="G84" s="167">
        <v>115.1</v>
      </c>
    </row>
    <row r="85" spans="1:7" ht="105" hidden="1">
      <c r="A85" s="175" t="s">
        <v>936</v>
      </c>
      <c r="B85" s="176" t="s">
        <v>620</v>
      </c>
      <c r="C85" s="167"/>
      <c r="D85" s="167"/>
      <c r="E85" s="167">
        <f t="shared" si="6"/>
        <v>0</v>
      </c>
      <c r="F85" s="167"/>
      <c r="G85" s="167"/>
    </row>
    <row r="86" spans="1:7" ht="75" hidden="1">
      <c r="A86" s="169" t="s">
        <v>949</v>
      </c>
      <c r="B86" s="189" t="s">
        <v>872</v>
      </c>
      <c r="C86" s="167">
        <f>1294.2-1294.2</f>
        <v>0</v>
      </c>
      <c r="D86" s="167">
        <f>1294.2-1294.2</f>
        <v>0</v>
      </c>
      <c r="E86" s="167">
        <f t="shared" si="6"/>
        <v>0</v>
      </c>
      <c r="F86" s="167">
        <f>1411.9-1411.9</f>
        <v>0</v>
      </c>
      <c r="G86" s="167">
        <f>1047.5-1047.5</f>
        <v>0</v>
      </c>
    </row>
    <row r="87" spans="1:7" ht="77.25" customHeight="1">
      <c r="A87" s="165" t="s">
        <v>937</v>
      </c>
      <c r="B87" s="70" t="s">
        <v>873</v>
      </c>
      <c r="C87" s="167">
        <f>1873.1+826.9+1850</f>
        <v>4550</v>
      </c>
      <c r="D87" s="167">
        <f>1873.1+826.9+1850</f>
        <v>4550</v>
      </c>
      <c r="E87" s="167">
        <f t="shared" si="6"/>
        <v>0</v>
      </c>
      <c r="F87" s="167">
        <f>2464.7-714.7+900</f>
        <v>2650</v>
      </c>
      <c r="G87" s="167">
        <f>1306.2+708.9</f>
        <v>2015.1</v>
      </c>
    </row>
    <row r="88" spans="1:7" ht="48" customHeight="1">
      <c r="A88" s="165" t="s">
        <v>938</v>
      </c>
      <c r="B88" s="166" t="s">
        <v>16</v>
      </c>
      <c r="C88" s="167">
        <f>772.5-97.6</f>
        <v>674.9</v>
      </c>
      <c r="D88" s="167">
        <f>772.5-97.6</f>
        <v>674.9</v>
      </c>
      <c r="E88" s="167">
        <f t="shared" si="6"/>
        <v>0</v>
      </c>
      <c r="F88" s="167">
        <f>813.7-68.3</f>
        <v>745.4000000000001</v>
      </c>
      <c r="G88" s="167">
        <v>799.1</v>
      </c>
    </row>
    <row r="89" spans="1:7" ht="71.25" customHeight="1">
      <c r="A89" s="165" t="s">
        <v>1155</v>
      </c>
      <c r="B89" s="166" t="s">
        <v>1125</v>
      </c>
      <c r="C89" s="167">
        <v>9174.4</v>
      </c>
      <c r="D89" s="167">
        <v>9174.4</v>
      </c>
      <c r="E89" s="167">
        <f t="shared" si="6"/>
        <v>0</v>
      </c>
      <c r="F89" s="167">
        <v>27523.3</v>
      </c>
      <c r="G89" s="167">
        <v>27523.3</v>
      </c>
    </row>
    <row r="90" spans="1:7" ht="71.25" customHeight="1">
      <c r="A90" s="165" t="s">
        <v>1156</v>
      </c>
      <c r="B90" s="166" t="s">
        <v>1157</v>
      </c>
      <c r="C90" s="167"/>
      <c r="D90" s="167">
        <v>16438</v>
      </c>
      <c r="E90" s="167">
        <f t="shared" si="6"/>
        <v>16438</v>
      </c>
      <c r="F90" s="167"/>
      <c r="G90" s="167"/>
    </row>
    <row r="91" spans="1:7" ht="35.25" customHeight="1">
      <c r="A91" s="165" t="s">
        <v>939</v>
      </c>
      <c r="B91" s="166" t="s">
        <v>17</v>
      </c>
      <c r="C91" s="167">
        <f>6038.2-278.6</f>
        <v>5759.599999999999</v>
      </c>
      <c r="D91" s="167">
        <f>6038.2-278.6</f>
        <v>5759.599999999999</v>
      </c>
      <c r="E91" s="167">
        <f t="shared" si="6"/>
        <v>0</v>
      </c>
      <c r="F91" s="167">
        <f>4581.8-286.8</f>
        <v>4295</v>
      </c>
      <c r="G91" s="167">
        <v>4431.5</v>
      </c>
    </row>
    <row r="92" spans="1:7" s="161" customFormat="1" ht="14.25">
      <c r="A92" s="28" t="s">
        <v>950</v>
      </c>
      <c r="B92" s="29" t="s">
        <v>621</v>
      </c>
      <c r="C92" s="162">
        <f>C93+C94+C97+C101</f>
        <v>4942.7</v>
      </c>
      <c r="D92" s="162">
        <f>D93+D94+D97+D101</f>
        <v>14983.7</v>
      </c>
      <c r="E92" s="162">
        <f t="shared" si="6"/>
        <v>10041</v>
      </c>
      <c r="F92" s="162">
        <f>F93+F94+F97+F101</f>
        <v>3795.3</v>
      </c>
      <c r="G92" s="162">
        <f>G93+G94+G97+G101</f>
        <v>3758.3</v>
      </c>
    </row>
    <row r="93" spans="1:7" s="161" customFormat="1" ht="80.25" customHeight="1">
      <c r="A93" s="177" t="s">
        <v>940</v>
      </c>
      <c r="B93" s="178" t="s">
        <v>18</v>
      </c>
      <c r="C93" s="167">
        <f>3099.6+33.7</f>
        <v>3133.2999999999997</v>
      </c>
      <c r="D93" s="167">
        <f>3099.6+33.7</f>
        <v>3133.2999999999997</v>
      </c>
      <c r="E93" s="167">
        <f aca="true" t="shared" si="7" ref="E93:E102">D93-C93</f>
        <v>0</v>
      </c>
      <c r="F93" s="167">
        <f>2836.9+74.4</f>
        <v>2911.3</v>
      </c>
      <c r="G93" s="167">
        <f>2799.9+74.4</f>
        <v>2874.3</v>
      </c>
    </row>
    <row r="94" spans="1:7" s="161" customFormat="1" ht="54.75" customHeight="1" hidden="1">
      <c r="A94" s="377" t="s">
        <v>19</v>
      </c>
      <c r="B94" s="178" t="s">
        <v>622</v>
      </c>
      <c r="C94" s="163"/>
      <c r="D94" s="162"/>
      <c r="E94" s="167">
        <f t="shared" si="7"/>
        <v>0</v>
      </c>
      <c r="F94" s="190"/>
      <c r="G94" s="190"/>
    </row>
    <row r="95" spans="1:7" s="161" customFormat="1" ht="49.5" customHeight="1" hidden="1">
      <c r="A95" s="378"/>
      <c r="B95" s="178" t="s">
        <v>623</v>
      </c>
      <c r="C95" s="163"/>
      <c r="D95" s="162"/>
      <c r="E95" s="167">
        <f t="shared" si="7"/>
        <v>0</v>
      </c>
      <c r="F95" s="167"/>
      <c r="G95" s="167"/>
    </row>
    <row r="96" spans="1:7" s="161" customFormat="1" ht="30" hidden="1">
      <c r="A96" s="378"/>
      <c r="B96" s="178" t="s">
        <v>624</v>
      </c>
      <c r="C96" s="163"/>
      <c r="D96" s="162"/>
      <c r="E96" s="167">
        <f t="shared" si="7"/>
        <v>0</v>
      </c>
      <c r="F96" s="190"/>
      <c r="G96" s="190"/>
    </row>
    <row r="97" spans="1:7" ht="71.25" customHeight="1">
      <c r="A97" s="364" t="s">
        <v>951</v>
      </c>
      <c r="B97" s="153" t="s">
        <v>1126</v>
      </c>
      <c r="C97" s="167">
        <f>C98+C99+C100</f>
        <v>1809.4</v>
      </c>
      <c r="D97" s="167">
        <f>D98+D99+D100</f>
        <v>1809.4</v>
      </c>
      <c r="E97" s="167">
        <f t="shared" si="7"/>
        <v>0</v>
      </c>
      <c r="F97" s="167">
        <f>F98+F99+F100</f>
        <v>884</v>
      </c>
      <c r="G97" s="167">
        <f>G98+G99+G100</f>
        <v>884</v>
      </c>
    </row>
    <row r="98" spans="1:7" s="161" customFormat="1" ht="96.75" customHeight="1">
      <c r="A98" s="365"/>
      <c r="B98" s="287" t="s">
        <v>1027</v>
      </c>
      <c r="C98" s="167">
        <v>1679.4</v>
      </c>
      <c r="D98" s="167">
        <v>1679.4</v>
      </c>
      <c r="E98" s="167">
        <f t="shared" si="7"/>
        <v>0</v>
      </c>
      <c r="F98" s="167">
        <v>884</v>
      </c>
      <c r="G98" s="167">
        <v>884</v>
      </c>
    </row>
    <row r="99" spans="1:7" s="161" customFormat="1" ht="38.25" customHeight="1">
      <c r="A99" s="365"/>
      <c r="B99" s="153" t="s">
        <v>1128</v>
      </c>
      <c r="C99" s="167">
        <v>130</v>
      </c>
      <c r="D99" s="167">
        <v>130</v>
      </c>
      <c r="E99" s="167">
        <f t="shared" si="7"/>
        <v>0</v>
      </c>
      <c r="F99" s="167"/>
      <c r="G99" s="167"/>
    </row>
    <row r="100" spans="1:7" s="161" customFormat="1" ht="72.75" customHeight="1" hidden="1">
      <c r="A100" s="366"/>
      <c r="B100" s="153" t="s">
        <v>1129</v>
      </c>
      <c r="C100" s="167"/>
      <c r="D100" s="167"/>
      <c r="E100" s="167">
        <f t="shared" si="7"/>
        <v>0</v>
      </c>
      <c r="F100" s="167"/>
      <c r="G100" s="167"/>
    </row>
    <row r="101" spans="1:7" s="161" customFormat="1" ht="36" customHeight="1">
      <c r="A101" s="364" t="s">
        <v>1130</v>
      </c>
      <c r="B101" s="153" t="s">
        <v>20</v>
      </c>
      <c r="C101" s="167">
        <f>C102</f>
        <v>0</v>
      </c>
      <c r="D101" s="167">
        <f>D102</f>
        <v>10041</v>
      </c>
      <c r="E101" s="167">
        <f t="shared" si="7"/>
        <v>10041</v>
      </c>
      <c r="F101" s="167">
        <f>F102</f>
        <v>0</v>
      </c>
      <c r="G101" s="167">
        <f>G102</f>
        <v>0</v>
      </c>
    </row>
    <row r="102" spans="1:7" s="161" customFormat="1" ht="34.5" customHeight="1">
      <c r="A102" s="366"/>
      <c r="B102" s="153" t="s">
        <v>1154</v>
      </c>
      <c r="C102" s="167"/>
      <c r="D102" s="167">
        <v>10041</v>
      </c>
      <c r="E102" s="167">
        <f t="shared" si="7"/>
        <v>10041</v>
      </c>
      <c r="F102" s="167"/>
      <c r="G102" s="167"/>
    </row>
    <row r="103" spans="1:7" s="161" customFormat="1" ht="36" customHeight="1" hidden="1">
      <c r="A103" s="342"/>
      <c r="B103" s="29" t="s">
        <v>625</v>
      </c>
      <c r="C103" s="162">
        <f>C104</f>
        <v>0</v>
      </c>
      <c r="D103" s="162">
        <f>D104</f>
        <v>0</v>
      </c>
      <c r="E103" s="162">
        <f>E104</f>
        <v>0</v>
      </c>
      <c r="F103" s="162">
        <f>F104</f>
        <v>0</v>
      </c>
      <c r="G103" s="162">
        <f>G104</f>
        <v>0</v>
      </c>
    </row>
    <row r="104" spans="1:7" ht="30.75" customHeight="1" hidden="1">
      <c r="A104" s="343"/>
      <c r="B104" s="153" t="s">
        <v>626</v>
      </c>
      <c r="C104" s="167"/>
      <c r="D104" s="167"/>
      <c r="E104" s="167"/>
      <c r="F104" s="191"/>
      <c r="G104" s="191"/>
    </row>
    <row r="105" spans="1:5" ht="15">
      <c r="A105" s="179"/>
      <c r="B105" s="180"/>
      <c r="C105" s="181"/>
      <c r="D105" s="181"/>
      <c r="E105" s="181"/>
    </row>
    <row r="106" spans="1:5" ht="15">
      <c r="A106" s="179"/>
      <c r="B106" s="180"/>
      <c r="C106" s="181"/>
      <c r="D106" s="181"/>
      <c r="E106" s="181"/>
    </row>
    <row r="107" ht="15">
      <c r="B107" s="182"/>
    </row>
    <row r="108" ht="15">
      <c r="B108" s="182"/>
    </row>
    <row r="109" ht="15">
      <c r="B109" s="182"/>
    </row>
    <row r="110" ht="15">
      <c r="B110" s="182"/>
    </row>
  </sheetData>
  <sheetProtection/>
  <mergeCells count="10">
    <mergeCell ref="A97:A100"/>
    <mergeCell ref="A101:A102"/>
    <mergeCell ref="A80:A82"/>
    <mergeCell ref="A60:A79"/>
    <mergeCell ref="A8:E8"/>
    <mergeCell ref="A11:A12"/>
    <mergeCell ref="B11:B12"/>
    <mergeCell ref="A94:A96"/>
    <mergeCell ref="D11:G11"/>
    <mergeCell ref="A26:A58"/>
  </mergeCells>
  <printOptions/>
  <pageMargins left="0.7086614173228347" right="0" top="0.7480314960629921" bottom="0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4">
      <pane xSplit="3" ySplit="9" topLeftCell="E13" activePane="bottomRight" state="frozen"/>
      <selection pane="topLeft" activeCell="A4" sqref="A4"/>
      <selection pane="topRight" activeCell="D4" sqref="D4"/>
      <selection pane="bottomLeft" activeCell="A13" sqref="A13"/>
      <selection pane="bottomRight" activeCell="K10" sqref="K10"/>
    </sheetView>
  </sheetViews>
  <sheetFormatPr defaultColWidth="15.00390625" defaultRowHeight="15" outlineLevelCol="1"/>
  <cols>
    <col min="1" max="1" width="71.00390625" style="26" customWidth="1"/>
    <col min="2" max="2" width="8.00390625" style="26" customWidth="1"/>
    <col min="3" max="3" width="7.8515625" style="26" customWidth="1"/>
    <col min="4" max="4" width="13.28125" style="142" hidden="1" customWidth="1" outlineLevel="1"/>
    <col min="5" max="5" width="12.57421875" style="26" customWidth="1" collapsed="1"/>
    <col min="6" max="6" width="12.00390625" style="26" hidden="1" customWidth="1" outlineLevel="1"/>
    <col min="7" max="7" width="12.8515625" style="26" customWidth="1" collapsed="1"/>
    <col min="8" max="8" width="12.7109375" style="26" customWidth="1"/>
    <col min="9" max="229" width="10.00390625" style="26" customWidth="1"/>
    <col min="230" max="230" width="70.421875" style="26" customWidth="1"/>
    <col min="231" max="16384" width="15.00390625" style="26" customWidth="1"/>
  </cols>
  <sheetData>
    <row r="1" spans="1:8" ht="15">
      <c r="A1" s="150"/>
      <c r="B1" s="385"/>
      <c r="C1" s="385"/>
      <c r="D1" s="150"/>
      <c r="E1" s="385"/>
      <c r="F1" s="385"/>
      <c r="G1" s="150"/>
      <c r="H1" s="198" t="s">
        <v>0</v>
      </c>
    </row>
    <row r="2" spans="1:8" ht="15">
      <c r="A2" s="150"/>
      <c r="B2" s="142"/>
      <c r="C2" s="142"/>
      <c r="D2" s="150"/>
      <c r="E2" s="385"/>
      <c r="F2" s="385"/>
      <c r="G2" s="150"/>
      <c r="H2" s="199" t="s">
        <v>1</v>
      </c>
    </row>
    <row r="3" spans="1:8" ht="15">
      <c r="A3" s="385"/>
      <c r="B3" s="386"/>
      <c r="C3" s="386"/>
      <c r="D3" s="385"/>
      <c r="E3" s="386"/>
      <c r="F3" s="386"/>
      <c r="G3" s="200"/>
      <c r="H3" s="199" t="s">
        <v>2</v>
      </c>
    </row>
    <row r="4" spans="1:8" ht="15">
      <c r="A4" s="197"/>
      <c r="B4" s="142"/>
      <c r="C4" s="142"/>
      <c r="D4" s="197"/>
      <c r="E4" s="385"/>
      <c r="F4" s="385"/>
      <c r="G4" s="150"/>
      <c r="H4" s="199" t="s">
        <v>1162</v>
      </c>
    </row>
    <row r="5" spans="1:8" ht="15">
      <c r="A5" s="150"/>
      <c r="B5" s="385"/>
      <c r="C5" s="385"/>
      <c r="D5" s="150"/>
      <c r="E5" s="385"/>
      <c r="F5" s="385"/>
      <c r="G5" s="150"/>
      <c r="H5" s="198" t="s">
        <v>1029</v>
      </c>
    </row>
    <row r="6" ht="15">
      <c r="D6" s="150"/>
    </row>
    <row r="8" spans="1:8" ht="39.75" customHeight="1">
      <c r="A8" s="348" t="s">
        <v>1020</v>
      </c>
      <c r="B8" s="348"/>
      <c r="C8" s="348"/>
      <c r="D8" s="348"/>
      <c r="E8" s="348"/>
      <c r="F8" s="348"/>
      <c r="G8" s="348"/>
      <c r="H8" s="348"/>
    </row>
    <row r="9" spans="1:4" ht="14.25" customHeight="1">
      <c r="A9" s="144"/>
      <c r="B9" s="144"/>
      <c r="C9" s="144"/>
      <c r="D9" s="201"/>
    </row>
    <row r="10" spans="1:6" ht="14.25" customHeight="1">
      <c r="A10" s="151"/>
      <c r="B10" s="151"/>
      <c r="C10" s="151"/>
      <c r="D10" s="202"/>
      <c r="F10" s="26" t="s">
        <v>723</v>
      </c>
    </row>
    <row r="11" spans="1:8" ht="36" customHeight="1">
      <c r="A11" s="344" t="s">
        <v>34</v>
      </c>
      <c r="B11" s="344" t="s">
        <v>672</v>
      </c>
      <c r="C11" s="344"/>
      <c r="D11" s="387" t="s">
        <v>1063</v>
      </c>
      <c r="E11" s="388" t="s">
        <v>845</v>
      </c>
      <c r="F11" s="390" t="s">
        <v>718</v>
      </c>
      <c r="G11" s="388" t="s">
        <v>749</v>
      </c>
      <c r="H11" s="388" t="s">
        <v>1017</v>
      </c>
    </row>
    <row r="12" spans="1:8" ht="30.75" customHeight="1">
      <c r="A12" s="344"/>
      <c r="B12" s="28" t="s">
        <v>35</v>
      </c>
      <c r="C12" s="66" t="s">
        <v>36</v>
      </c>
      <c r="D12" s="355"/>
      <c r="E12" s="389"/>
      <c r="F12" s="391"/>
      <c r="G12" s="389"/>
      <c r="H12" s="389"/>
    </row>
    <row r="13" spans="1:8" ht="17.25" customHeight="1">
      <c r="A13" s="203" t="s">
        <v>37</v>
      </c>
      <c r="B13" s="139" t="s">
        <v>38</v>
      </c>
      <c r="C13" s="139"/>
      <c r="D13" s="58">
        <f>D15+D16+D18+D19+D20+D17+D14</f>
        <v>284355.20000000007</v>
      </c>
      <c r="E13" s="58">
        <f>E15+E16+E18+E19+E20+E17+E14</f>
        <v>265711.80000000005</v>
      </c>
      <c r="F13" s="204">
        <f>E13-D13</f>
        <v>-18643.400000000023</v>
      </c>
      <c r="G13" s="58">
        <f>G15+G16+G18+G19+G20+G17+G14</f>
        <v>257172.19999999998</v>
      </c>
      <c r="H13" s="58">
        <f>H15+H16+H18+H19+H20+H17+H14</f>
        <v>280246.39999999997</v>
      </c>
    </row>
    <row r="14" spans="1:8" ht="33" customHeight="1">
      <c r="A14" s="89" t="s">
        <v>39</v>
      </c>
      <c r="B14" s="139"/>
      <c r="C14" s="21" t="s">
        <v>40</v>
      </c>
      <c r="D14" s="57">
        <f>'Пр. 9'!I766</f>
        <v>1339.3999999999999</v>
      </c>
      <c r="E14" s="57">
        <f>'Пр. 9'!J766</f>
        <v>1339.3999999999999</v>
      </c>
      <c r="F14" s="204">
        <f aca="true" t="shared" si="0" ref="F14:F61">E14-D14</f>
        <v>0</v>
      </c>
      <c r="G14" s="57">
        <f>'Пр. 9'!L766</f>
        <v>2785.8</v>
      </c>
      <c r="H14" s="57">
        <f>'Пр. 9'!M766</f>
        <v>2897.3</v>
      </c>
    </row>
    <row r="15" spans="1:8" ht="45">
      <c r="A15" s="89" t="s">
        <v>41</v>
      </c>
      <c r="B15" s="21"/>
      <c r="C15" s="21" t="s">
        <v>42</v>
      </c>
      <c r="D15" s="57">
        <f>'Пр. 9'!I771</f>
        <v>9279.400000000001</v>
      </c>
      <c r="E15" s="57">
        <f>'Пр. 9'!J771</f>
        <v>9279.400000000001</v>
      </c>
      <c r="F15" s="204">
        <f t="shared" si="0"/>
        <v>0</v>
      </c>
      <c r="G15" s="57">
        <f>'Пр. 9'!L771</f>
        <v>9530.199999999999</v>
      </c>
      <c r="H15" s="57">
        <f>'Пр. 9'!M771</f>
        <v>9902.9</v>
      </c>
    </row>
    <row r="16" spans="1:8" ht="48" customHeight="1">
      <c r="A16" s="89" t="s">
        <v>43</v>
      </c>
      <c r="B16" s="21"/>
      <c r="C16" s="21" t="s">
        <v>44</v>
      </c>
      <c r="D16" s="57">
        <f>'Пр. 9'!I15+'Пр. 9'!I579</f>
        <v>128931.90000000001</v>
      </c>
      <c r="E16" s="57">
        <f>'Пр. 9'!J15+'Пр. 9'!J579</f>
        <v>128819.50000000001</v>
      </c>
      <c r="F16" s="204">
        <f t="shared" si="0"/>
        <v>-112.39999999999418</v>
      </c>
      <c r="G16" s="57">
        <f>'Пр. 9'!L15+'Пр. 9'!L579</f>
        <v>128807.29999999999</v>
      </c>
      <c r="H16" s="57">
        <f>'Пр. 9'!M15+'Пр. 9'!M579</f>
        <v>132403.5</v>
      </c>
    </row>
    <row r="17" spans="1:8" ht="19.5" customHeight="1">
      <c r="A17" s="88" t="s">
        <v>45</v>
      </c>
      <c r="B17" s="21"/>
      <c r="C17" s="21" t="s">
        <v>46</v>
      </c>
      <c r="D17" s="57">
        <f>'Пр. 9'!I65</f>
        <v>72.6</v>
      </c>
      <c r="E17" s="57">
        <f>'Пр. 9'!J65</f>
        <v>72.6</v>
      </c>
      <c r="F17" s="204">
        <f t="shared" si="0"/>
        <v>0</v>
      </c>
      <c r="G17" s="57">
        <f>'Пр. 9'!L65</f>
        <v>39</v>
      </c>
      <c r="H17" s="57">
        <f>'Пр. 9'!M65</f>
        <v>115.1</v>
      </c>
    </row>
    <row r="18" spans="1:8" ht="34.5" customHeight="1">
      <c r="A18" s="70" t="s">
        <v>47</v>
      </c>
      <c r="B18" s="139"/>
      <c r="C18" s="21" t="s">
        <v>48</v>
      </c>
      <c r="D18" s="57">
        <f>'Пр. 9'!I1079+'Пр. 9'!I587</f>
        <v>32930.8</v>
      </c>
      <c r="E18" s="57">
        <f>'Пр. 9'!J1079+'Пр. 9'!J587</f>
        <v>33443.8</v>
      </c>
      <c r="F18" s="204">
        <f t="shared" si="0"/>
        <v>513</v>
      </c>
      <c r="G18" s="57">
        <f>'Пр. 9'!L1079+'Пр. 9'!L587</f>
        <v>33553.600000000006</v>
      </c>
      <c r="H18" s="57">
        <f>'Пр. 9'!M1079+'Пр. 9'!M587</f>
        <v>34758.3</v>
      </c>
    </row>
    <row r="19" spans="1:8" ht="16.5" customHeight="1">
      <c r="A19" s="88" t="s">
        <v>49</v>
      </c>
      <c r="B19" s="21"/>
      <c r="C19" s="21" t="s">
        <v>50</v>
      </c>
      <c r="D19" s="57">
        <f>'Пр. 9'!I615</f>
        <v>22322.2</v>
      </c>
      <c r="E19" s="57">
        <f>'Пр. 9'!J615</f>
        <v>3778.1999999999994</v>
      </c>
      <c r="F19" s="204">
        <f t="shared" si="0"/>
        <v>-18544</v>
      </c>
      <c r="G19" s="57">
        <f>'Пр. 9'!L615</f>
        <v>856.3999999999996</v>
      </c>
      <c r="H19" s="57">
        <f>'Пр. 9'!M615</f>
        <v>14342.8</v>
      </c>
    </row>
    <row r="20" spans="1:11" ht="18" customHeight="1">
      <c r="A20" s="69" t="s">
        <v>51</v>
      </c>
      <c r="B20" s="21"/>
      <c r="C20" s="21" t="s">
        <v>52</v>
      </c>
      <c r="D20" s="57">
        <f>'Пр. 9'!I71+'Пр. 9'!I621+'Пр. 9'!I716+'Пр. 9'!I786+'Пр. 9'!I807+'Пр. 9'!I1100</f>
        <v>89478.9</v>
      </c>
      <c r="E20" s="57">
        <f>'Пр. 9'!J71+'Пр. 9'!J621+'Пр. 9'!J716+'Пр. 9'!J786+'Пр. 9'!J807+'Пр. 9'!J1100</f>
        <v>88978.9</v>
      </c>
      <c r="F20" s="204">
        <f t="shared" si="0"/>
        <v>-500</v>
      </c>
      <c r="G20" s="57">
        <f>'Пр. 9'!L71+'Пр. 9'!L621+'Пр. 9'!L716+'Пр. 9'!L786+'Пр. 9'!L807+'Пр. 9'!L1100</f>
        <v>81599.9</v>
      </c>
      <c r="H20" s="57">
        <f>'Пр. 9'!M71+'Пр. 9'!M621+'Пр. 9'!M716+'Пр. 9'!M786+'Пр. 9'!M807+'Пр. 9'!M1100</f>
        <v>85826.5</v>
      </c>
      <c r="K20" s="322"/>
    </row>
    <row r="21" spans="1:8" ht="18" customHeight="1">
      <c r="A21" s="146" t="s">
        <v>53</v>
      </c>
      <c r="B21" s="139" t="s">
        <v>54</v>
      </c>
      <c r="C21" s="139"/>
      <c r="D21" s="58">
        <f>D22</f>
        <v>2374.2999999999997</v>
      </c>
      <c r="E21" s="58">
        <f>E22</f>
        <v>2374.2999999999997</v>
      </c>
      <c r="F21" s="204">
        <f t="shared" si="0"/>
        <v>0</v>
      </c>
      <c r="G21" s="58">
        <f>G22</f>
        <v>1451.1999999999998</v>
      </c>
      <c r="H21" s="58">
        <f>H22</f>
        <v>1464.6</v>
      </c>
    </row>
    <row r="22" spans="1:8" ht="30" customHeight="1">
      <c r="A22" s="70" t="s">
        <v>55</v>
      </c>
      <c r="B22" s="69"/>
      <c r="C22" s="21" t="s">
        <v>56</v>
      </c>
      <c r="D22" s="57">
        <f>'Пр. 9'!I138+'Пр. 9'!I635</f>
        <v>2374.2999999999997</v>
      </c>
      <c r="E22" s="57">
        <f>'Пр. 9'!J138+'Пр. 9'!J635</f>
        <v>2374.2999999999997</v>
      </c>
      <c r="F22" s="204">
        <f t="shared" si="0"/>
        <v>0</v>
      </c>
      <c r="G22" s="57">
        <f>'Пр. 9'!L138+'Пр. 9'!L635</f>
        <v>1451.1999999999998</v>
      </c>
      <c r="H22" s="57">
        <f>'Пр. 9'!M138+'Пр. 9'!M635</f>
        <v>1464.6</v>
      </c>
    </row>
    <row r="23" spans="1:8" ht="15" customHeight="1">
      <c r="A23" s="87" t="s">
        <v>57</v>
      </c>
      <c r="B23" s="139" t="s">
        <v>58</v>
      </c>
      <c r="C23" s="139"/>
      <c r="D23" s="58">
        <f>D24+D28+D25+D26+D27</f>
        <v>76258.3</v>
      </c>
      <c r="E23" s="58">
        <f>E24+E28+E25+E26+E27</f>
        <v>76365.3</v>
      </c>
      <c r="F23" s="204">
        <f t="shared" si="0"/>
        <v>107</v>
      </c>
      <c r="G23" s="58">
        <f>G24+G28+G25+G26+G27</f>
        <v>50622.2</v>
      </c>
      <c r="H23" s="58">
        <f>H24+H28+H25+H26+H27</f>
        <v>43619.5</v>
      </c>
    </row>
    <row r="24" spans="1:8" ht="15" customHeight="1">
      <c r="A24" s="69" t="s">
        <v>59</v>
      </c>
      <c r="B24" s="21"/>
      <c r="C24" s="21" t="s">
        <v>60</v>
      </c>
      <c r="D24" s="57">
        <f>'Пр. 9'!I179</f>
        <v>15390.2</v>
      </c>
      <c r="E24" s="57">
        <f>'Пр. 9'!J179</f>
        <v>15690.2</v>
      </c>
      <c r="F24" s="204">
        <f t="shared" si="0"/>
        <v>300</v>
      </c>
      <c r="G24" s="57">
        <f>'Пр. 9'!L179</f>
        <v>15496.2</v>
      </c>
      <c r="H24" s="57">
        <f>'Пр. 9'!M179</f>
        <v>15657</v>
      </c>
    </row>
    <row r="25" spans="1:8" ht="14.25" customHeight="1">
      <c r="A25" s="69" t="s">
        <v>61</v>
      </c>
      <c r="B25" s="21"/>
      <c r="C25" s="21" t="s">
        <v>62</v>
      </c>
      <c r="D25" s="57">
        <f>'Пр. 9'!I207</f>
        <v>1551.5</v>
      </c>
      <c r="E25" s="57">
        <f>'Пр. 9'!J207</f>
        <v>1551.5</v>
      </c>
      <c r="F25" s="204">
        <f t="shared" si="0"/>
        <v>0</v>
      </c>
      <c r="G25" s="57">
        <f>'Пр. 9'!L207</f>
        <v>0</v>
      </c>
      <c r="H25" s="57">
        <f>'Пр. 9'!M207</f>
        <v>8000</v>
      </c>
    </row>
    <row r="26" spans="1:8" ht="19.5" customHeight="1">
      <c r="A26" s="69" t="s">
        <v>63</v>
      </c>
      <c r="B26" s="21"/>
      <c r="C26" s="21" t="s">
        <v>64</v>
      </c>
      <c r="D26" s="57">
        <f>'Пр. 9'!I226+'Пр. 9'!I642+'Пр. 9'!I742</f>
        <v>32592</v>
      </c>
      <c r="E26" s="57">
        <f>'Пр. 9'!J226+'Пр. 9'!J642+'Пр. 9'!J742</f>
        <v>32592</v>
      </c>
      <c r="F26" s="204">
        <f t="shared" si="0"/>
        <v>0</v>
      </c>
      <c r="G26" s="57">
        <f>'Пр. 9'!L226+'Пр. 9'!L642+'Пр. 9'!L742</f>
        <v>13022.2</v>
      </c>
      <c r="H26" s="57">
        <f>'Пр. 9'!M226+'Пр. 9'!M642+'Пр. 9'!M742</f>
        <v>15522.2</v>
      </c>
    </row>
    <row r="27" spans="1:8" ht="15.75" customHeight="1" hidden="1">
      <c r="A27" s="69" t="s">
        <v>65</v>
      </c>
      <c r="B27" s="21"/>
      <c r="C27" s="21" t="s">
        <v>66</v>
      </c>
      <c r="D27" s="57"/>
      <c r="E27" s="57"/>
      <c r="F27" s="204">
        <f t="shared" si="0"/>
        <v>0</v>
      </c>
      <c r="G27" s="57"/>
      <c r="H27" s="57"/>
    </row>
    <row r="28" spans="1:8" ht="16.5" customHeight="1">
      <c r="A28" s="69" t="s">
        <v>67</v>
      </c>
      <c r="B28" s="21"/>
      <c r="C28" s="21" t="s">
        <v>68</v>
      </c>
      <c r="D28" s="57">
        <f>'Пр. 9'!I245+'Пр. 9'!I652+'Пр. 9'!I748</f>
        <v>26724.6</v>
      </c>
      <c r="E28" s="57">
        <f>'Пр. 9'!J245+'Пр. 9'!J652+'Пр. 9'!J748</f>
        <v>26531.6</v>
      </c>
      <c r="F28" s="204">
        <f t="shared" si="0"/>
        <v>-193</v>
      </c>
      <c r="G28" s="57">
        <f>'Пр. 9'!L245+'Пр. 9'!L652+'Пр. 9'!L748</f>
        <v>22103.800000000003</v>
      </c>
      <c r="H28" s="57">
        <f>'Пр. 9'!M245+'Пр. 9'!M652+'Пр. 9'!M748</f>
        <v>4440.3</v>
      </c>
    </row>
    <row r="29" spans="1:8" ht="15.75" customHeight="1">
      <c r="A29" s="87" t="s">
        <v>69</v>
      </c>
      <c r="B29" s="139" t="s">
        <v>70</v>
      </c>
      <c r="C29" s="139"/>
      <c r="D29" s="58">
        <f>D31+D30+D33+D32</f>
        <v>11875.1</v>
      </c>
      <c r="E29" s="58">
        <f>E31+E30+E33+E32</f>
        <v>32434.4</v>
      </c>
      <c r="F29" s="204">
        <f t="shared" si="0"/>
        <v>20559.300000000003</v>
      </c>
      <c r="G29" s="58">
        <f>G31+G30+G33+G32</f>
        <v>8566</v>
      </c>
      <c r="H29" s="58">
        <f>H31+H30+H33+H32</f>
        <v>12694.8</v>
      </c>
    </row>
    <row r="30" spans="1:8" ht="18" customHeight="1">
      <c r="A30" s="69" t="s">
        <v>71</v>
      </c>
      <c r="B30" s="21"/>
      <c r="C30" s="21" t="s">
        <v>72</v>
      </c>
      <c r="D30" s="57">
        <f>'Пр. 9'!I296</f>
        <v>2224.4</v>
      </c>
      <c r="E30" s="57">
        <f>'Пр. 9'!J296</f>
        <v>2224.4</v>
      </c>
      <c r="F30" s="204">
        <f t="shared" si="0"/>
        <v>0</v>
      </c>
      <c r="G30" s="57">
        <f>'Пр. 9'!L296</f>
        <v>2404</v>
      </c>
      <c r="H30" s="57">
        <f>'Пр. 9'!M296</f>
        <v>6800</v>
      </c>
    </row>
    <row r="31" spans="1:8" ht="18" customHeight="1">
      <c r="A31" s="69" t="s">
        <v>73</v>
      </c>
      <c r="B31" s="21"/>
      <c r="C31" s="21" t="s">
        <v>74</v>
      </c>
      <c r="D31" s="57">
        <f>'Пр. 9'!I313+'Пр. 9'!I659</f>
        <v>4192.1</v>
      </c>
      <c r="E31" s="57">
        <f>'Пр. 9'!J313+'Пр. 9'!J659</f>
        <v>24594</v>
      </c>
      <c r="F31" s="204">
        <f t="shared" si="0"/>
        <v>20401.9</v>
      </c>
      <c r="G31" s="57">
        <f>'Пр. 9'!L313+'Пр. 9'!L659</f>
        <v>1301.2</v>
      </c>
      <c r="H31" s="57">
        <f>'Пр. 9'!M313+'Пр. 9'!M659</f>
        <v>845</v>
      </c>
    </row>
    <row r="32" spans="1:8" ht="18" customHeight="1">
      <c r="A32" s="69" t="s">
        <v>75</v>
      </c>
      <c r="B32" s="21"/>
      <c r="C32" s="21" t="s">
        <v>76</v>
      </c>
      <c r="D32" s="57">
        <f>'Пр. 9'!I348+'Пр. 9'!I665</f>
        <v>3017.6000000000004</v>
      </c>
      <c r="E32" s="57">
        <f>'Пр. 9'!J348+'Пр. 9'!J665</f>
        <v>3017.6000000000004</v>
      </c>
      <c r="F32" s="204">
        <f t="shared" si="0"/>
        <v>0</v>
      </c>
      <c r="G32" s="57">
        <f>'Пр. 9'!L348+'Пр. 9'!L665</f>
        <v>2322</v>
      </c>
      <c r="H32" s="57">
        <f>'Пр. 9'!M348+'Пр. 9'!M665</f>
        <v>2409.5</v>
      </c>
    </row>
    <row r="33" spans="1:8" ht="18" customHeight="1">
      <c r="A33" s="69" t="s">
        <v>77</v>
      </c>
      <c r="B33" s="21"/>
      <c r="C33" s="21" t="s">
        <v>78</v>
      </c>
      <c r="D33" s="57">
        <f>'Пр. 9'!I363</f>
        <v>2441</v>
      </c>
      <c r="E33" s="57">
        <f>'Пр. 9'!J363</f>
        <v>2598.4</v>
      </c>
      <c r="F33" s="204">
        <f t="shared" si="0"/>
        <v>157.4000000000001</v>
      </c>
      <c r="G33" s="57">
        <f>'Пр. 9'!L363</f>
        <v>2538.8</v>
      </c>
      <c r="H33" s="57">
        <f>'Пр. 9'!M363</f>
        <v>2640.3</v>
      </c>
    </row>
    <row r="34" spans="1:8" ht="15.75" customHeight="1">
      <c r="A34" s="87" t="s">
        <v>79</v>
      </c>
      <c r="B34" s="139" t="s">
        <v>80</v>
      </c>
      <c r="C34" s="139"/>
      <c r="D34" s="58">
        <f>D35</f>
        <v>304</v>
      </c>
      <c r="E34" s="58">
        <f>E35</f>
        <v>304</v>
      </c>
      <c r="F34" s="204">
        <f t="shared" si="0"/>
        <v>0</v>
      </c>
      <c r="G34" s="58">
        <f>G35</f>
        <v>305</v>
      </c>
      <c r="H34" s="58">
        <f>H35</f>
        <v>304</v>
      </c>
    </row>
    <row r="35" spans="1:8" ht="15.75" customHeight="1">
      <c r="A35" s="69" t="s">
        <v>81</v>
      </c>
      <c r="B35" s="21"/>
      <c r="C35" s="21" t="s">
        <v>82</v>
      </c>
      <c r="D35" s="57">
        <f>'Пр. 9'!I847</f>
        <v>304</v>
      </c>
      <c r="E35" s="57">
        <f>'Пр. 9'!J847</f>
        <v>304</v>
      </c>
      <c r="F35" s="204">
        <f t="shared" si="0"/>
        <v>0</v>
      </c>
      <c r="G35" s="57">
        <f>'Пр. 9'!L847</f>
        <v>305</v>
      </c>
      <c r="H35" s="57">
        <f>'Пр. 9'!M847</f>
        <v>304</v>
      </c>
    </row>
    <row r="36" spans="1:8" ht="15" customHeight="1">
      <c r="A36" s="203" t="s">
        <v>83</v>
      </c>
      <c r="B36" s="139" t="s">
        <v>84</v>
      </c>
      <c r="C36" s="139"/>
      <c r="D36" s="58">
        <f>D37+D38+D42+D41+D40+D39</f>
        <v>2249616.1000000006</v>
      </c>
      <c r="E36" s="58">
        <f>E37+E38+E42+E41+E40+E39</f>
        <v>2274771.6</v>
      </c>
      <c r="F36" s="204">
        <f t="shared" si="0"/>
        <v>25155.499999999534</v>
      </c>
      <c r="G36" s="58">
        <f>G37+G38+G42+G41+G40+G39</f>
        <v>2057247.6500000004</v>
      </c>
      <c r="H36" s="58">
        <f>H37+H38+H42+H41+H40+H39</f>
        <v>2036332.2000000002</v>
      </c>
    </row>
    <row r="37" spans="1:8" ht="15" customHeight="1">
      <c r="A37" s="88" t="s">
        <v>85</v>
      </c>
      <c r="B37" s="21"/>
      <c r="C37" s="21" t="s">
        <v>86</v>
      </c>
      <c r="D37" s="57">
        <f>'Пр. 9'!I854</f>
        <v>772586.9</v>
      </c>
      <c r="E37" s="57">
        <f>'Пр. 9'!J854</f>
        <v>782462.2999999999</v>
      </c>
      <c r="F37" s="204">
        <f t="shared" si="0"/>
        <v>9875.399999999907</v>
      </c>
      <c r="G37" s="57">
        <f>'Пр. 9'!L854</f>
        <v>696994.05</v>
      </c>
      <c r="H37" s="57">
        <f>'Пр. 9'!M854</f>
        <v>703515.9</v>
      </c>
    </row>
    <row r="38" spans="1:8" ht="15.75" customHeight="1">
      <c r="A38" s="88" t="s">
        <v>87</v>
      </c>
      <c r="B38" s="21"/>
      <c r="C38" s="21" t="s">
        <v>88</v>
      </c>
      <c r="D38" s="57">
        <f>'Пр. 9'!I892</f>
        <v>1176133.5000000002</v>
      </c>
      <c r="E38" s="57">
        <f>'Пр. 9'!J892</f>
        <v>1191716.2000000002</v>
      </c>
      <c r="F38" s="204">
        <f t="shared" si="0"/>
        <v>15582.699999999953</v>
      </c>
      <c r="G38" s="57">
        <f>'Пр. 9'!L892</f>
        <v>1056209.1</v>
      </c>
      <c r="H38" s="57">
        <f>'Пр. 9'!M892</f>
        <v>1020224.1</v>
      </c>
    </row>
    <row r="39" spans="1:8" ht="15.75" customHeight="1">
      <c r="A39" s="22" t="s">
        <v>89</v>
      </c>
      <c r="B39" s="21"/>
      <c r="C39" s="21" t="s">
        <v>90</v>
      </c>
      <c r="D39" s="57">
        <f>'Пр. 9'!I962+'Пр. 9'!I375</f>
        <v>262366.4</v>
      </c>
      <c r="E39" s="57">
        <f>'Пр. 9'!J962+'Пр. 9'!J375</f>
        <v>263184.6</v>
      </c>
      <c r="F39" s="204">
        <f t="shared" si="0"/>
        <v>818.1999999999534</v>
      </c>
      <c r="G39" s="57">
        <f>'Пр. 9'!L962+'Пр. 9'!L375</f>
        <v>262304.1</v>
      </c>
      <c r="H39" s="57">
        <f>'Пр. 9'!M962+'Пр. 9'!M375</f>
        <v>269277.8</v>
      </c>
    </row>
    <row r="40" spans="1:8" ht="18" customHeight="1">
      <c r="A40" s="89" t="s">
        <v>91</v>
      </c>
      <c r="B40" s="21"/>
      <c r="C40" s="21" t="s">
        <v>92</v>
      </c>
      <c r="D40" s="57">
        <f>'Пр. 9'!I987</f>
        <v>512</v>
      </c>
      <c r="E40" s="57">
        <f>'Пр. 9'!J987</f>
        <v>512</v>
      </c>
      <c r="F40" s="204">
        <f t="shared" si="0"/>
        <v>0</v>
      </c>
      <c r="G40" s="57">
        <f>'Пр. 9'!L987</f>
        <v>480</v>
      </c>
      <c r="H40" s="57">
        <f>'Пр. 9'!M987</f>
        <v>480</v>
      </c>
    </row>
    <row r="41" spans="1:8" ht="16.5" customHeight="1">
      <c r="A41" s="89" t="s">
        <v>93</v>
      </c>
      <c r="B41" s="21"/>
      <c r="C41" s="21" t="s">
        <v>94</v>
      </c>
      <c r="D41" s="57">
        <f>'Пр. 9'!I415+'Пр. 9'!I993</f>
        <v>9087.1</v>
      </c>
      <c r="E41" s="57">
        <f>'Пр. 9'!J415+'Пр. 9'!J993</f>
        <v>8186.3</v>
      </c>
      <c r="F41" s="204">
        <f t="shared" si="0"/>
        <v>-900.8000000000002</v>
      </c>
      <c r="G41" s="57">
        <f>'Пр. 9'!L415+'Пр. 9'!L993</f>
        <v>11360.6</v>
      </c>
      <c r="H41" s="57">
        <f>'Пр. 9'!M415+'Пр. 9'!M993</f>
        <v>11525.600000000002</v>
      </c>
    </row>
    <row r="42" spans="1:8" ht="17.25" customHeight="1">
      <c r="A42" s="88" t="s">
        <v>95</v>
      </c>
      <c r="B42" s="21"/>
      <c r="C42" s="21" t="s">
        <v>96</v>
      </c>
      <c r="D42" s="57">
        <f>'Пр. 9'!I819+'Пр. 9'!I1007</f>
        <v>28930.2</v>
      </c>
      <c r="E42" s="57">
        <f>'Пр. 9'!J819+'Пр. 9'!J1007</f>
        <v>28710.2</v>
      </c>
      <c r="F42" s="204">
        <f t="shared" si="0"/>
        <v>-220</v>
      </c>
      <c r="G42" s="57">
        <f>'Пр. 9'!L819+'Пр. 9'!L1007</f>
        <v>29899.8</v>
      </c>
      <c r="H42" s="57">
        <f>'Пр. 9'!M819+'Пр. 9'!M1007</f>
        <v>31308.8</v>
      </c>
    </row>
    <row r="43" spans="1:8" ht="16.5" customHeight="1">
      <c r="A43" s="203" t="s">
        <v>97</v>
      </c>
      <c r="B43" s="139" t="s">
        <v>98</v>
      </c>
      <c r="C43" s="139"/>
      <c r="D43" s="58">
        <f>D44</f>
        <v>12752</v>
      </c>
      <c r="E43" s="58">
        <f>E44</f>
        <v>12912.900000000001</v>
      </c>
      <c r="F43" s="204">
        <f t="shared" si="0"/>
        <v>160.90000000000146</v>
      </c>
      <c r="G43" s="58">
        <f>G44</f>
        <v>9908.6</v>
      </c>
      <c r="H43" s="58">
        <f>H44</f>
        <v>9679.1</v>
      </c>
    </row>
    <row r="44" spans="1:8" ht="15">
      <c r="A44" s="88" t="s">
        <v>99</v>
      </c>
      <c r="B44" s="21"/>
      <c r="C44" s="21" t="s">
        <v>100</v>
      </c>
      <c r="D44" s="57">
        <f>'Пр. 9'!I444+'Пр. 9'!I676</f>
        <v>12752</v>
      </c>
      <c r="E44" s="57">
        <f>'Пр. 9'!J444+'Пр. 9'!J676</f>
        <v>12912.900000000001</v>
      </c>
      <c r="F44" s="204">
        <f t="shared" si="0"/>
        <v>160.90000000000146</v>
      </c>
      <c r="G44" s="57">
        <f>'Пр. 9'!L444+'Пр. 9'!L676</f>
        <v>9908.6</v>
      </c>
      <c r="H44" s="57">
        <f>'Пр. 9'!M444+'Пр. 9'!M676</f>
        <v>9679.1</v>
      </c>
    </row>
    <row r="45" spans="1:8" ht="15" customHeight="1">
      <c r="A45" s="203" t="s">
        <v>101</v>
      </c>
      <c r="B45" s="139" t="s">
        <v>102</v>
      </c>
      <c r="C45" s="139"/>
      <c r="D45" s="58">
        <f>D46+D47+D48+D49+D50</f>
        <v>189622.7</v>
      </c>
      <c r="E45" s="58">
        <f>E46+E47+E48+E49+E50</f>
        <v>190175.5</v>
      </c>
      <c r="F45" s="204">
        <f t="shared" si="0"/>
        <v>552.7999999999884</v>
      </c>
      <c r="G45" s="58">
        <f>G46+G47+G48+G49+G50</f>
        <v>176002.80000000002</v>
      </c>
      <c r="H45" s="58">
        <f>H46+H47+H48+H49+H50</f>
        <v>175419.80000000002</v>
      </c>
    </row>
    <row r="46" spans="1:8" ht="17.25" customHeight="1">
      <c r="A46" s="88" t="s">
        <v>103</v>
      </c>
      <c r="B46" s="139"/>
      <c r="C46" s="21" t="s">
        <v>104</v>
      </c>
      <c r="D46" s="57">
        <f>'Пр. 9'!I488</f>
        <v>18087.4</v>
      </c>
      <c r="E46" s="57">
        <f>'Пр. 9'!J488</f>
        <v>18640.2</v>
      </c>
      <c r="F46" s="204">
        <f t="shared" si="0"/>
        <v>552.7999999999993</v>
      </c>
      <c r="G46" s="57">
        <f>'Пр. 9'!L488</f>
        <v>18087.4</v>
      </c>
      <c r="H46" s="57">
        <f>'Пр. 9'!M488</f>
        <v>18087.4</v>
      </c>
    </row>
    <row r="47" spans="1:8" ht="15.75" customHeight="1" hidden="1">
      <c r="A47" s="88" t="s">
        <v>105</v>
      </c>
      <c r="B47" s="21"/>
      <c r="C47" s="21" t="s">
        <v>106</v>
      </c>
      <c r="D47" s="57"/>
      <c r="E47" s="57"/>
      <c r="F47" s="204">
        <f t="shared" si="0"/>
        <v>0</v>
      </c>
      <c r="G47" s="57"/>
      <c r="H47" s="57"/>
    </row>
    <row r="48" spans="1:8" ht="15.75" customHeight="1">
      <c r="A48" s="88" t="s">
        <v>107</v>
      </c>
      <c r="B48" s="21"/>
      <c r="C48" s="21" t="s">
        <v>108</v>
      </c>
      <c r="D48" s="57">
        <f>'Пр. 9'!I494+'Пр. 9'!I1052</f>
        <v>66303.40000000001</v>
      </c>
      <c r="E48" s="57">
        <f>'Пр. 9'!J494+'Пр. 9'!J1052</f>
        <v>66303.40000000001</v>
      </c>
      <c r="F48" s="204">
        <f t="shared" si="0"/>
        <v>0</v>
      </c>
      <c r="G48" s="57">
        <f>'Пр. 9'!L494+'Пр. 9'!L1052</f>
        <v>53249.3</v>
      </c>
      <c r="H48" s="57">
        <f>'Пр. 9'!M494+'Пр. 9'!M1052</f>
        <v>52612.600000000006</v>
      </c>
    </row>
    <row r="49" spans="1:8" ht="15" customHeight="1">
      <c r="A49" s="89" t="s">
        <v>109</v>
      </c>
      <c r="B49" s="21"/>
      <c r="C49" s="21" t="s">
        <v>110</v>
      </c>
      <c r="D49" s="57">
        <f>'Пр. 9'!I539+'Пр. 9'!I1060</f>
        <v>105231.9</v>
      </c>
      <c r="E49" s="57">
        <f>'Пр. 9'!J539+'Пр. 9'!J1060</f>
        <v>105231.9</v>
      </c>
      <c r="F49" s="204">
        <f t="shared" si="0"/>
        <v>0</v>
      </c>
      <c r="G49" s="57">
        <f>'Пр. 9'!L539+'Пр. 9'!L1060</f>
        <v>104666.1</v>
      </c>
      <c r="H49" s="57">
        <f>'Пр. 9'!M539+'Пр. 9'!M1060</f>
        <v>104719.80000000002</v>
      </c>
    </row>
    <row r="50" spans="1:8" ht="15.75" customHeight="1" hidden="1">
      <c r="A50" s="88" t="s">
        <v>111</v>
      </c>
      <c r="B50" s="139"/>
      <c r="C50" s="21" t="s">
        <v>112</v>
      </c>
      <c r="D50" s="57"/>
      <c r="E50" s="57"/>
      <c r="F50" s="204">
        <f t="shared" si="0"/>
        <v>0</v>
      </c>
      <c r="G50" s="57"/>
      <c r="H50" s="57"/>
    </row>
    <row r="51" spans="1:8" ht="15" customHeight="1">
      <c r="A51" s="203" t="s">
        <v>113</v>
      </c>
      <c r="B51" s="139" t="s">
        <v>114</v>
      </c>
      <c r="C51" s="21"/>
      <c r="D51" s="58">
        <f>D52+D53</f>
        <v>33768.299999999996</v>
      </c>
      <c r="E51" s="58">
        <f>E52+E53</f>
        <v>33768.299999999996</v>
      </c>
      <c r="F51" s="204">
        <f t="shared" si="0"/>
        <v>0</v>
      </c>
      <c r="G51" s="58">
        <f>G52+G53</f>
        <v>167051.4</v>
      </c>
      <c r="H51" s="58">
        <f>H52+H53</f>
        <v>154591.3</v>
      </c>
    </row>
    <row r="52" spans="1:8" ht="15.75" customHeight="1">
      <c r="A52" s="88" t="s">
        <v>115</v>
      </c>
      <c r="B52" s="21"/>
      <c r="C52" s="21" t="s">
        <v>116</v>
      </c>
      <c r="D52" s="57">
        <f>'Пр. 9'!I556+'Пр. 9'!I1067</f>
        <v>4332.4</v>
      </c>
      <c r="E52" s="57">
        <f>'Пр. 9'!J556+'Пр. 9'!J1067</f>
        <v>4332.4</v>
      </c>
      <c r="F52" s="204">
        <f t="shared" si="0"/>
        <v>0</v>
      </c>
      <c r="G52" s="57">
        <f>'Пр. 9'!L556+'Пр. 9'!L1067</f>
        <v>4052.3999999999996</v>
      </c>
      <c r="H52" s="57">
        <f>'Пр. 9'!M556+'Пр. 9'!M1067</f>
        <v>4152.4</v>
      </c>
    </row>
    <row r="53" spans="1:8" ht="16.5" customHeight="1">
      <c r="A53" s="88" t="s">
        <v>117</v>
      </c>
      <c r="B53" s="21"/>
      <c r="C53" s="21" t="s">
        <v>118</v>
      </c>
      <c r="D53" s="57">
        <f>'Пр. 9'!I569</f>
        <v>29435.899999999998</v>
      </c>
      <c r="E53" s="57">
        <f>'Пр. 9'!J569</f>
        <v>29435.899999999998</v>
      </c>
      <c r="F53" s="204">
        <f t="shared" si="0"/>
        <v>0</v>
      </c>
      <c r="G53" s="57">
        <f>'Пр. 9'!L569</f>
        <v>162999</v>
      </c>
      <c r="H53" s="57">
        <f>'Пр. 9'!M569</f>
        <v>150438.9</v>
      </c>
    </row>
    <row r="54" spans="1:8" ht="16.5" customHeight="1">
      <c r="A54" s="203" t="s">
        <v>119</v>
      </c>
      <c r="B54" s="139" t="s">
        <v>120</v>
      </c>
      <c r="C54" s="21"/>
      <c r="D54" s="58">
        <f>D55</f>
        <v>277.5</v>
      </c>
      <c r="E54" s="58">
        <f>E55</f>
        <v>277.5</v>
      </c>
      <c r="F54" s="204">
        <f t="shared" si="0"/>
        <v>0</v>
      </c>
      <c r="G54" s="58">
        <f>G55</f>
        <v>277.5</v>
      </c>
      <c r="H54" s="58">
        <f>H55</f>
        <v>277.5</v>
      </c>
    </row>
    <row r="55" spans="1:8" ht="18" customHeight="1">
      <c r="A55" s="89" t="s">
        <v>121</v>
      </c>
      <c r="B55" s="21"/>
      <c r="C55" s="21" t="s">
        <v>122</v>
      </c>
      <c r="D55" s="57">
        <f>'Пр. 9'!I684</f>
        <v>277.5</v>
      </c>
      <c r="E55" s="57">
        <f>'Пр. 9'!J684</f>
        <v>277.5</v>
      </c>
      <c r="F55" s="204">
        <f t="shared" si="0"/>
        <v>0</v>
      </c>
      <c r="G55" s="57">
        <f>'Пр. 9'!L684</f>
        <v>277.5</v>
      </c>
      <c r="H55" s="57">
        <f>'Пр. 9'!M684</f>
        <v>277.5</v>
      </c>
    </row>
    <row r="56" spans="1:8" ht="30" customHeight="1">
      <c r="A56" s="118" t="s">
        <v>123</v>
      </c>
      <c r="B56" s="139" t="s">
        <v>124</v>
      </c>
      <c r="C56" s="21"/>
      <c r="D56" s="58">
        <f>D57+D58</f>
        <v>223408.5</v>
      </c>
      <c r="E56" s="58">
        <f>E57+E58</f>
        <v>232009.9</v>
      </c>
      <c r="F56" s="204">
        <f t="shared" si="0"/>
        <v>8601.399999999994</v>
      </c>
      <c r="G56" s="58">
        <f>G57+G58</f>
        <v>222810.6</v>
      </c>
      <c r="H56" s="58">
        <f>H57+H58</f>
        <v>228774.4</v>
      </c>
    </row>
    <row r="57" spans="1:8" ht="30.75" customHeight="1">
      <c r="A57" s="89" t="s">
        <v>125</v>
      </c>
      <c r="B57" s="139"/>
      <c r="C57" s="21" t="s">
        <v>126</v>
      </c>
      <c r="D57" s="57">
        <f>'Пр. 9'!I692</f>
        <v>206503.5</v>
      </c>
      <c r="E57" s="57">
        <f>'Пр. 9'!J692</f>
        <v>206503.5</v>
      </c>
      <c r="F57" s="204">
        <f t="shared" si="0"/>
        <v>0</v>
      </c>
      <c r="G57" s="57">
        <f>'Пр. 9'!L692</f>
        <v>212310.6</v>
      </c>
      <c r="H57" s="57">
        <f>'Пр. 9'!M692</f>
        <v>218274.4</v>
      </c>
    </row>
    <row r="58" spans="1:8" ht="17.25" customHeight="1">
      <c r="A58" s="89" t="s">
        <v>127</v>
      </c>
      <c r="B58" s="21"/>
      <c r="C58" s="21" t="s">
        <v>128</v>
      </c>
      <c r="D58" s="57">
        <f>'Пр. 9'!I700</f>
        <v>16905</v>
      </c>
      <c r="E58" s="57">
        <f>'Пр. 9'!J700</f>
        <v>25506.4</v>
      </c>
      <c r="F58" s="204">
        <f t="shared" si="0"/>
        <v>8601.400000000001</v>
      </c>
      <c r="G58" s="57">
        <f>'Пр. 9'!L700</f>
        <v>10500</v>
      </c>
      <c r="H58" s="57">
        <f>'Пр. 9'!M700</f>
        <v>10500</v>
      </c>
    </row>
    <row r="59" spans="1:8" ht="14.25" customHeight="1">
      <c r="A59" s="203" t="s">
        <v>931</v>
      </c>
      <c r="B59" s="203"/>
      <c r="C59" s="203"/>
      <c r="D59" s="58">
        <f>D56+D54+D51+D45+D43+D36+D29+D23+D21+D13+D34</f>
        <v>3084612.0000000005</v>
      </c>
      <c r="E59" s="58">
        <f>E56+E54+E51+E45+E43+E36+E29+E23+E21+E13+E34</f>
        <v>3121105.5</v>
      </c>
      <c r="F59" s="204">
        <f t="shared" si="0"/>
        <v>36493.499999999534</v>
      </c>
      <c r="G59" s="58">
        <f>G56+G54+G51+G45+G43+G36+G29+G23+G21+G13+G34</f>
        <v>2951415.150000001</v>
      </c>
      <c r="H59" s="58">
        <f>H56+H54+H51+H45+H43+H36+H29+H23+H21+H13+H34</f>
        <v>2943403.6</v>
      </c>
    </row>
    <row r="60" spans="1:8" ht="15" customHeight="1">
      <c r="A60" s="69" t="s">
        <v>929</v>
      </c>
      <c r="B60" s="258"/>
      <c r="C60" s="258"/>
      <c r="D60" s="205"/>
      <c r="E60" s="205"/>
      <c r="F60" s="204">
        <f t="shared" si="0"/>
        <v>0</v>
      </c>
      <c r="G60" s="205">
        <f>'Пр. 9'!L1107</f>
        <v>25500</v>
      </c>
      <c r="H60" s="205">
        <f>'Пр. 9'!M1107</f>
        <v>53500</v>
      </c>
    </row>
    <row r="61" spans="1:8" ht="15" customHeight="1">
      <c r="A61" s="87" t="s">
        <v>930</v>
      </c>
      <c r="B61" s="259"/>
      <c r="C61" s="259"/>
      <c r="D61" s="257">
        <f>'Пр. 9'!I1108</f>
        <v>3084612</v>
      </c>
      <c r="E61" s="257">
        <f>'Пр. 9'!J1108</f>
        <v>3121105.5</v>
      </c>
      <c r="F61" s="204">
        <f t="shared" si="0"/>
        <v>36493.5</v>
      </c>
      <c r="G61" s="257">
        <f>'Пр. 9'!L1108</f>
        <v>2976915.150000001</v>
      </c>
      <c r="H61" s="257">
        <f>'Пр. 9'!M1108</f>
        <v>2996903.6000000006</v>
      </c>
    </row>
  </sheetData>
  <sheetProtection/>
  <mergeCells count="16">
    <mergeCell ref="E4:F4"/>
    <mergeCell ref="G11:G12"/>
    <mergeCell ref="H11:H12"/>
    <mergeCell ref="A8:H8"/>
    <mergeCell ref="A11:A12"/>
    <mergeCell ref="B11:C11"/>
    <mergeCell ref="B1:C1"/>
    <mergeCell ref="A3:C3"/>
    <mergeCell ref="B5:C5"/>
    <mergeCell ref="D11:D12"/>
    <mergeCell ref="E11:E12"/>
    <mergeCell ref="F11:F12"/>
    <mergeCell ref="E1:F1"/>
    <mergeCell ref="D3:F3"/>
    <mergeCell ref="E5:F5"/>
    <mergeCell ref="E2:F2"/>
  </mergeCells>
  <printOptions/>
  <pageMargins left="0.15748031496062992" right="0.11811023622047245" top="0.5511811023622047" bottom="0.15748031496062992" header="0.31496062992125984" footer="0.31496062992125984"/>
  <pageSetup fitToHeight="0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36"/>
  <sheetViews>
    <sheetView zoomScalePageLayoutView="0" workbookViewId="0" topLeftCell="A1">
      <selection activeCell="M12" sqref="M12"/>
    </sheetView>
  </sheetViews>
  <sheetFormatPr defaultColWidth="8.8515625" defaultRowHeight="15" outlineLevelCol="1"/>
  <cols>
    <col min="1" max="1" width="62.7109375" style="34" customWidth="1"/>
    <col min="2" max="2" width="3.57421875" style="8" customWidth="1"/>
    <col min="3" max="3" width="2.28125" style="7" customWidth="1"/>
    <col min="4" max="4" width="3.421875" style="8" customWidth="1"/>
    <col min="5" max="5" width="6.8515625" style="8" customWidth="1"/>
    <col min="6" max="6" width="6.8515625" style="7" customWidth="1"/>
    <col min="7" max="7" width="9.140625" style="7" customWidth="1"/>
    <col min="8" max="8" width="13.421875" style="37" hidden="1" customWidth="1" outlineLevel="1"/>
    <col min="9" max="9" width="12.00390625" style="2" customWidth="1" collapsed="1"/>
    <col min="10" max="10" width="10.57421875" style="2" hidden="1" customWidth="1" outlineLevel="1"/>
    <col min="11" max="11" width="12.8515625" style="2" customWidth="1" collapsed="1"/>
    <col min="12" max="12" width="12.421875" style="2" customWidth="1"/>
    <col min="13" max="13" width="8.8515625" style="2" customWidth="1"/>
    <col min="14" max="14" width="10.28125" style="2" bestFit="1" customWidth="1"/>
    <col min="15" max="15" width="9.57421875" style="2" customWidth="1"/>
    <col min="16" max="16384" width="8.8515625" style="2" customWidth="1"/>
  </cols>
  <sheetData>
    <row r="1" ht="15">
      <c r="L1" s="207" t="s">
        <v>0</v>
      </c>
    </row>
    <row r="2" ht="15">
      <c r="L2" s="207" t="s">
        <v>881</v>
      </c>
    </row>
    <row r="3" ht="15">
      <c r="L3" s="207" t="s">
        <v>2</v>
      </c>
    </row>
    <row r="4" ht="15">
      <c r="L4" s="207" t="s">
        <v>1162</v>
      </c>
    </row>
    <row r="5" ht="15">
      <c r="L5" s="207" t="s">
        <v>734</v>
      </c>
    </row>
    <row r="8" spans="1:12" ht="61.5" customHeight="1">
      <c r="A8" s="402" t="s">
        <v>1021</v>
      </c>
      <c r="B8" s="402"/>
      <c r="C8" s="402"/>
      <c r="D8" s="402"/>
      <c r="E8" s="402"/>
      <c r="F8" s="402"/>
      <c r="G8" s="402"/>
      <c r="H8" s="402"/>
      <c r="I8" s="402"/>
      <c r="J8" s="402"/>
      <c r="K8" s="402"/>
      <c r="L8" s="402"/>
    </row>
    <row r="10" ht="12.75">
      <c r="L10" s="2" t="s">
        <v>723</v>
      </c>
    </row>
    <row r="11" spans="1:12" s="3" customFormat="1" ht="36" customHeight="1">
      <c r="A11" s="92" t="s">
        <v>130</v>
      </c>
      <c r="B11" s="399" t="s">
        <v>144</v>
      </c>
      <c r="C11" s="400"/>
      <c r="D11" s="400"/>
      <c r="E11" s="401"/>
      <c r="F11" s="93" t="s">
        <v>145</v>
      </c>
      <c r="G11" s="92" t="s">
        <v>146</v>
      </c>
      <c r="H11" s="36" t="s">
        <v>1063</v>
      </c>
      <c r="I11" s="193" t="s">
        <v>845</v>
      </c>
      <c r="J11" s="193" t="s">
        <v>720</v>
      </c>
      <c r="K11" s="194" t="s">
        <v>749</v>
      </c>
      <c r="L11" s="194" t="s">
        <v>1017</v>
      </c>
    </row>
    <row r="12" spans="1:15" s="3" customFormat="1" ht="85.5">
      <c r="A12" s="110" t="s">
        <v>834</v>
      </c>
      <c r="B12" s="67" t="s">
        <v>147</v>
      </c>
      <c r="C12" s="67" t="s">
        <v>148</v>
      </c>
      <c r="D12" s="67" t="s">
        <v>149</v>
      </c>
      <c r="E12" s="67" t="s">
        <v>150</v>
      </c>
      <c r="F12" s="67"/>
      <c r="G12" s="95"/>
      <c r="H12" s="36">
        <f>H13+H36+H52+H63</f>
        <v>24676.8</v>
      </c>
      <c r="I12" s="36">
        <f>I13+I36+I52+I63</f>
        <v>24676.8</v>
      </c>
      <c r="J12" s="96">
        <f>I12-H12</f>
        <v>0</v>
      </c>
      <c r="K12" s="36">
        <f>K13+K36+K52+K63</f>
        <v>11785.4</v>
      </c>
      <c r="L12" s="36">
        <f>L13+L36+L52+L63</f>
        <v>13397.7</v>
      </c>
      <c r="O12" s="14"/>
    </row>
    <row r="13" spans="1:14" s="5" customFormat="1" ht="46.5" customHeight="1">
      <c r="A13" s="97" t="s">
        <v>151</v>
      </c>
      <c r="B13" s="67" t="s">
        <v>147</v>
      </c>
      <c r="C13" s="67" t="s">
        <v>131</v>
      </c>
      <c r="D13" s="67" t="s">
        <v>149</v>
      </c>
      <c r="E13" s="67" t="s">
        <v>150</v>
      </c>
      <c r="F13" s="67"/>
      <c r="G13" s="95"/>
      <c r="H13" s="36">
        <f>H14+H24</f>
        <v>16634.7</v>
      </c>
      <c r="I13" s="36">
        <f>I14+I24</f>
        <v>16634.7</v>
      </c>
      <c r="J13" s="96">
        <f aca="true" t="shared" si="0" ref="J13:J80">I13-H13</f>
        <v>0</v>
      </c>
      <c r="K13" s="36">
        <f>K14+K24</f>
        <v>3612</v>
      </c>
      <c r="L13" s="36">
        <f>L14+L24</f>
        <v>8030.5</v>
      </c>
      <c r="N13" s="65"/>
    </row>
    <row r="14" spans="1:12" s="5" customFormat="1" ht="51.75" customHeight="1">
      <c r="A14" s="97" t="s">
        <v>750</v>
      </c>
      <c r="B14" s="67" t="s">
        <v>147</v>
      </c>
      <c r="C14" s="67" t="s">
        <v>131</v>
      </c>
      <c r="D14" s="67" t="s">
        <v>147</v>
      </c>
      <c r="E14" s="67" t="s">
        <v>150</v>
      </c>
      <c r="F14" s="67"/>
      <c r="G14" s="95"/>
      <c r="H14" s="36">
        <f>H15+H21+H18</f>
        <v>14714.7</v>
      </c>
      <c r="I14" s="36">
        <f>I15+I21+I18</f>
        <v>14714.7</v>
      </c>
      <c r="J14" s="96">
        <f t="shared" si="0"/>
        <v>0</v>
      </c>
      <c r="K14" s="36">
        <f>K15+K21+K18</f>
        <v>1290</v>
      </c>
      <c r="L14" s="36">
        <f>L15+L21+L18</f>
        <v>5621</v>
      </c>
    </row>
    <row r="15" spans="1:12" s="4" customFormat="1" ht="17.25" customHeight="1" hidden="1">
      <c r="A15" s="98" t="s">
        <v>796</v>
      </c>
      <c r="B15" s="99" t="s">
        <v>147</v>
      </c>
      <c r="C15" s="99" t="s">
        <v>131</v>
      </c>
      <c r="D15" s="99" t="s">
        <v>147</v>
      </c>
      <c r="E15" s="99" t="s">
        <v>152</v>
      </c>
      <c r="F15" s="99"/>
      <c r="G15" s="100"/>
      <c r="H15" s="74">
        <f>H16</f>
        <v>0</v>
      </c>
      <c r="I15" s="74">
        <f>I16</f>
        <v>0</v>
      </c>
      <c r="J15" s="96">
        <f t="shared" si="0"/>
        <v>0</v>
      </c>
      <c r="K15" s="74">
        <f>K16</f>
        <v>0</v>
      </c>
      <c r="L15" s="74">
        <f>L16</f>
        <v>0</v>
      </c>
    </row>
    <row r="16" spans="1:12" s="4" customFormat="1" ht="34.5" customHeight="1" hidden="1">
      <c r="A16" s="102" t="s">
        <v>692</v>
      </c>
      <c r="B16" s="99" t="s">
        <v>147</v>
      </c>
      <c r="C16" s="99" t="s">
        <v>131</v>
      </c>
      <c r="D16" s="99" t="s">
        <v>147</v>
      </c>
      <c r="E16" s="99" t="s">
        <v>152</v>
      </c>
      <c r="F16" s="99" t="s">
        <v>691</v>
      </c>
      <c r="G16" s="100"/>
      <c r="H16" s="74">
        <f>H17</f>
        <v>0</v>
      </c>
      <c r="I16" s="74">
        <f>I17</f>
        <v>0</v>
      </c>
      <c r="J16" s="96">
        <f t="shared" si="0"/>
        <v>0</v>
      </c>
      <c r="K16" s="74">
        <f>K17</f>
        <v>0</v>
      </c>
      <c r="L16" s="74">
        <f>L17</f>
        <v>0</v>
      </c>
    </row>
    <row r="17" spans="1:12" s="4" customFormat="1" ht="31.5" customHeight="1" hidden="1">
      <c r="A17" s="22" t="s">
        <v>73</v>
      </c>
      <c r="B17" s="99" t="s">
        <v>147</v>
      </c>
      <c r="C17" s="99" t="s">
        <v>131</v>
      </c>
      <c r="D17" s="99" t="s">
        <v>147</v>
      </c>
      <c r="E17" s="99" t="s">
        <v>152</v>
      </c>
      <c r="F17" s="99" t="s">
        <v>691</v>
      </c>
      <c r="G17" s="100" t="s">
        <v>74</v>
      </c>
      <c r="H17" s="74">
        <f>'Пр. 9'!I318</f>
        <v>0</v>
      </c>
      <c r="I17" s="74">
        <f>'Пр. 9'!J318</f>
        <v>0</v>
      </c>
      <c r="J17" s="96">
        <f t="shared" si="0"/>
        <v>0</v>
      </c>
      <c r="K17" s="74">
        <f>'Пр. 9'!L318</f>
        <v>0</v>
      </c>
      <c r="L17" s="74">
        <f>'Пр. 9'!M318</f>
        <v>0</v>
      </c>
    </row>
    <row r="18" spans="1:12" s="4" customFormat="1" ht="33.75" customHeight="1">
      <c r="A18" s="109" t="s">
        <v>1098</v>
      </c>
      <c r="B18" s="99" t="s">
        <v>147</v>
      </c>
      <c r="C18" s="99" t="s">
        <v>131</v>
      </c>
      <c r="D18" s="99" t="s">
        <v>147</v>
      </c>
      <c r="E18" s="99" t="s">
        <v>1100</v>
      </c>
      <c r="F18" s="99"/>
      <c r="G18" s="100"/>
      <c r="H18" s="74">
        <f>H19</f>
        <v>14714.7</v>
      </c>
      <c r="I18" s="74">
        <f>I19</f>
        <v>14714.7</v>
      </c>
      <c r="J18" s="101">
        <f t="shared" si="0"/>
        <v>0</v>
      </c>
      <c r="K18" s="74">
        <f>K19</f>
        <v>0</v>
      </c>
      <c r="L18" s="74">
        <f>L19</f>
        <v>0</v>
      </c>
    </row>
    <row r="19" spans="1:12" s="4" customFormat="1" ht="37.5" customHeight="1">
      <c r="A19" s="111" t="s">
        <v>688</v>
      </c>
      <c r="B19" s="99" t="s">
        <v>147</v>
      </c>
      <c r="C19" s="99" t="s">
        <v>131</v>
      </c>
      <c r="D19" s="99" t="s">
        <v>147</v>
      </c>
      <c r="E19" s="99" t="s">
        <v>1100</v>
      </c>
      <c r="F19" s="99" t="s">
        <v>689</v>
      </c>
      <c r="G19" s="100"/>
      <c r="H19" s="74">
        <f>H20</f>
        <v>14714.7</v>
      </c>
      <c r="I19" s="74">
        <f>I20</f>
        <v>14714.7</v>
      </c>
      <c r="J19" s="101">
        <f t="shared" si="0"/>
        <v>0</v>
      </c>
      <c r="K19" s="74">
        <f>K20</f>
        <v>0</v>
      </c>
      <c r="L19" s="74">
        <f>L20</f>
        <v>0</v>
      </c>
    </row>
    <row r="20" spans="1:12" s="4" customFormat="1" ht="19.5" customHeight="1">
      <c r="A20" s="88" t="s">
        <v>87</v>
      </c>
      <c r="B20" s="99" t="s">
        <v>147</v>
      </c>
      <c r="C20" s="99" t="s">
        <v>131</v>
      </c>
      <c r="D20" s="99" t="s">
        <v>147</v>
      </c>
      <c r="E20" s="99" t="s">
        <v>1100</v>
      </c>
      <c r="F20" s="99" t="s">
        <v>689</v>
      </c>
      <c r="G20" s="100" t="s">
        <v>88</v>
      </c>
      <c r="H20" s="74">
        <f>'Пр. 9'!I897</f>
        <v>14714.7</v>
      </c>
      <c r="I20" s="74">
        <f>'Пр. 9'!J897</f>
        <v>14714.7</v>
      </c>
      <c r="J20" s="101">
        <f t="shared" si="0"/>
        <v>0</v>
      </c>
      <c r="K20" s="74">
        <f>'Пр. 9'!L897</f>
        <v>0</v>
      </c>
      <c r="L20" s="74">
        <f>'Пр. 9'!M897</f>
        <v>0</v>
      </c>
    </row>
    <row r="21" spans="1:12" s="4" customFormat="1" ht="51" customHeight="1">
      <c r="A21" s="22" t="s">
        <v>831</v>
      </c>
      <c r="B21" s="99" t="s">
        <v>147</v>
      </c>
      <c r="C21" s="99" t="s">
        <v>131</v>
      </c>
      <c r="D21" s="99" t="s">
        <v>147</v>
      </c>
      <c r="E21" s="99" t="s">
        <v>807</v>
      </c>
      <c r="F21" s="99"/>
      <c r="G21" s="100"/>
      <c r="H21" s="74">
        <f>H22</f>
        <v>0</v>
      </c>
      <c r="I21" s="74">
        <f>I22</f>
        <v>0</v>
      </c>
      <c r="J21" s="101">
        <f t="shared" si="0"/>
        <v>0</v>
      </c>
      <c r="K21" s="74">
        <f>K22</f>
        <v>1290</v>
      </c>
      <c r="L21" s="74">
        <f>L22</f>
        <v>5621</v>
      </c>
    </row>
    <row r="22" spans="1:12" s="4" customFormat="1" ht="21.75" customHeight="1">
      <c r="A22" s="102" t="s">
        <v>692</v>
      </c>
      <c r="B22" s="99" t="s">
        <v>147</v>
      </c>
      <c r="C22" s="99" t="s">
        <v>131</v>
      </c>
      <c r="D22" s="99" t="s">
        <v>147</v>
      </c>
      <c r="E22" s="99" t="s">
        <v>807</v>
      </c>
      <c r="F22" s="99" t="s">
        <v>691</v>
      </c>
      <c r="G22" s="100"/>
      <c r="H22" s="74">
        <f>H23</f>
        <v>0</v>
      </c>
      <c r="I22" s="74">
        <f>I23</f>
        <v>0</v>
      </c>
      <c r="J22" s="101">
        <f t="shared" si="0"/>
        <v>0</v>
      </c>
      <c r="K22" s="74">
        <f>K23</f>
        <v>1290</v>
      </c>
      <c r="L22" s="74">
        <f>L23</f>
        <v>5621</v>
      </c>
    </row>
    <row r="23" spans="1:12" s="4" customFormat="1" ht="21" customHeight="1">
      <c r="A23" s="22" t="s">
        <v>71</v>
      </c>
      <c r="B23" s="99" t="s">
        <v>147</v>
      </c>
      <c r="C23" s="99" t="s">
        <v>131</v>
      </c>
      <c r="D23" s="99" t="s">
        <v>147</v>
      </c>
      <c r="E23" s="99" t="s">
        <v>807</v>
      </c>
      <c r="F23" s="99" t="s">
        <v>691</v>
      </c>
      <c r="G23" s="100" t="s">
        <v>72</v>
      </c>
      <c r="H23" s="74">
        <f>'Пр. 9'!I301</f>
        <v>0</v>
      </c>
      <c r="I23" s="74">
        <f>'Пр. 9'!J301</f>
        <v>0</v>
      </c>
      <c r="J23" s="101">
        <f t="shared" si="0"/>
        <v>0</v>
      </c>
      <c r="K23" s="74">
        <f>'Пр. 9'!L301</f>
        <v>1290</v>
      </c>
      <c r="L23" s="74">
        <f>'Пр. 9'!M301</f>
        <v>5621</v>
      </c>
    </row>
    <row r="24" spans="1:12" s="5" customFormat="1" ht="54" customHeight="1">
      <c r="A24" s="97" t="s">
        <v>769</v>
      </c>
      <c r="B24" s="67" t="s">
        <v>147</v>
      </c>
      <c r="C24" s="67" t="s">
        <v>131</v>
      </c>
      <c r="D24" s="67" t="s">
        <v>160</v>
      </c>
      <c r="E24" s="67" t="s">
        <v>150</v>
      </c>
      <c r="F24" s="67"/>
      <c r="G24" s="95"/>
      <c r="H24" s="36">
        <f>H25+H28+H31</f>
        <v>1920</v>
      </c>
      <c r="I24" s="36">
        <f>I25+I28+I31</f>
        <v>1920</v>
      </c>
      <c r="J24" s="96">
        <f t="shared" si="0"/>
        <v>0</v>
      </c>
      <c r="K24" s="36">
        <f>K25+K28+K31</f>
        <v>2322</v>
      </c>
      <c r="L24" s="36">
        <f>L25+L28+L31</f>
        <v>2409.5</v>
      </c>
    </row>
    <row r="25" spans="1:12" s="4" customFormat="1" ht="45">
      <c r="A25" s="22" t="s">
        <v>867</v>
      </c>
      <c r="B25" s="99" t="s">
        <v>147</v>
      </c>
      <c r="C25" s="99" t="s">
        <v>131</v>
      </c>
      <c r="D25" s="99" t="s">
        <v>160</v>
      </c>
      <c r="E25" s="99" t="s">
        <v>809</v>
      </c>
      <c r="F25" s="99"/>
      <c r="G25" s="100"/>
      <c r="H25" s="74">
        <f>H26</f>
        <v>910</v>
      </c>
      <c r="I25" s="74">
        <f>I26</f>
        <v>910</v>
      </c>
      <c r="J25" s="101">
        <f t="shared" si="0"/>
        <v>0</v>
      </c>
      <c r="K25" s="74">
        <f>K26</f>
        <v>712</v>
      </c>
      <c r="L25" s="74">
        <f>L26</f>
        <v>559.5</v>
      </c>
    </row>
    <row r="26" spans="1:12" s="4" customFormat="1" ht="15">
      <c r="A26" s="102" t="s">
        <v>692</v>
      </c>
      <c r="B26" s="99" t="s">
        <v>147</v>
      </c>
      <c r="C26" s="99" t="s">
        <v>131</v>
      </c>
      <c r="D26" s="99" t="s">
        <v>160</v>
      </c>
      <c r="E26" s="99" t="s">
        <v>809</v>
      </c>
      <c r="F26" s="99" t="s">
        <v>691</v>
      </c>
      <c r="G26" s="100"/>
      <c r="H26" s="74">
        <f>H27</f>
        <v>910</v>
      </c>
      <c r="I26" s="74">
        <f>I27</f>
        <v>910</v>
      </c>
      <c r="J26" s="101">
        <f t="shared" si="0"/>
        <v>0</v>
      </c>
      <c r="K26" s="74">
        <f>K27</f>
        <v>712</v>
      </c>
      <c r="L26" s="74">
        <f>L27</f>
        <v>559.5</v>
      </c>
    </row>
    <row r="27" spans="1:12" s="4" customFormat="1" ht="15">
      <c r="A27" s="103" t="s">
        <v>75</v>
      </c>
      <c r="B27" s="99" t="s">
        <v>147</v>
      </c>
      <c r="C27" s="99" t="s">
        <v>131</v>
      </c>
      <c r="D27" s="99" t="s">
        <v>160</v>
      </c>
      <c r="E27" s="99" t="s">
        <v>809</v>
      </c>
      <c r="F27" s="99" t="s">
        <v>691</v>
      </c>
      <c r="G27" s="100" t="s">
        <v>76</v>
      </c>
      <c r="H27" s="74">
        <f>'Пр. 9'!I353</f>
        <v>910</v>
      </c>
      <c r="I27" s="74">
        <f>'Пр. 9'!J353</f>
        <v>910</v>
      </c>
      <c r="J27" s="101">
        <f t="shared" si="0"/>
        <v>0</v>
      </c>
      <c r="K27" s="74">
        <f>'Пр. 9'!L353</f>
        <v>712</v>
      </c>
      <c r="L27" s="74">
        <f>'Пр. 9'!M353</f>
        <v>559.5</v>
      </c>
    </row>
    <row r="28" spans="1:12" s="4" customFormat="1" ht="45">
      <c r="A28" s="103" t="s">
        <v>797</v>
      </c>
      <c r="B28" s="99" t="s">
        <v>147</v>
      </c>
      <c r="C28" s="99" t="s">
        <v>131</v>
      </c>
      <c r="D28" s="99" t="s">
        <v>160</v>
      </c>
      <c r="E28" s="99" t="s">
        <v>810</v>
      </c>
      <c r="F28" s="99"/>
      <c r="G28" s="100"/>
      <c r="H28" s="74">
        <f>H29</f>
        <v>1010</v>
      </c>
      <c r="I28" s="74">
        <f>I29</f>
        <v>1010</v>
      </c>
      <c r="J28" s="101">
        <f t="shared" si="0"/>
        <v>0</v>
      </c>
      <c r="K28" s="74">
        <f>K29</f>
        <v>1610</v>
      </c>
      <c r="L28" s="74">
        <f>L29</f>
        <v>1850</v>
      </c>
    </row>
    <row r="29" spans="1:12" s="4" customFormat="1" ht="15">
      <c r="A29" s="102" t="s">
        <v>692</v>
      </c>
      <c r="B29" s="99" t="s">
        <v>147</v>
      </c>
      <c r="C29" s="99" t="s">
        <v>131</v>
      </c>
      <c r="D29" s="99" t="s">
        <v>160</v>
      </c>
      <c r="E29" s="99" t="s">
        <v>810</v>
      </c>
      <c r="F29" s="99" t="s">
        <v>691</v>
      </c>
      <c r="G29" s="100"/>
      <c r="H29" s="74">
        <f>H30</f>
        <v>1010</v>
      </c>
      <c r="I29" s="74">
        <f>I30</f>
        <v>1010</v>
      </c>
      <c r="J29" s="101">
        <f t="shared" si="0"/>
        <v>0</v>
      </c>
      <c r="K29" s="74">
        <f>K30</f>
        <v>1610</v>
      </c>
      <c r="L29" s="74">
        <f>L30</f>
        <v>1850</v>
      </c>
    </row>
    <row r="30" spans="1:12" s="4" customFormat="1" ht="15">
      <c r="A30" s="103" t="s">
        <v>75</v>
      </c>
      <c r="B30" s="99" t="s">
        <v>147</v>
      </c>
      <c r="C30" s="99" t="s">
        <v>131</v>
      </c>
      <c r="D30" s="99" t="s">
        <v>160</v>
      </c>
      <c r="E30" s="99" t="s">
        <v>810</v>
      </c>
      <c r="F30" s="99" t="s">
        <v>691</v>
      </c>
      <c r="G30" s="100" t="s">
        <v>76</v>
      </c>
      <c r="H30" s="74">
        <f>'Пр. 9'!I355</f>
        <v>1010</v>
      </c>
      <c r="I30" s="74">
        <f>'Пр. 9'!J355</f>
        <v>1010</v>
      </c>
      <c r="J30" s="101">
        <f t="shared" si="0"/>
        <v>0</v>
      </c>
      <c r="K30" s="74">
        <f>'Пр. 9'!L355</f>
        <v>1610</v>
      </c>
      <c r="L30" s="74">
        <f>'Пр. 9'!M355</f>
        <v>1850</v>
      </c>
    </row>
    <row r="31" spans="1:12" s="4" customFormat="1" ht="42.75" customHeight="1" hidden="1">
      <c r="A31" s="102" t="s">
        <v>1112</v>
      </c>
      <c r="B31" s="99" t="s">
        <v>147</v>
      </c>
      <c r="C31" s="99" t="s">
        <v>131</v>
      </c>
      <c r="D31" s="99" t="s">
        <v>160</v>
      </c>
      <c r="E31" s="99" t="s">
        <v>811</v>
      </c>
      <c r="F31" s="99"/>
      <c r="G31" s="100"/>
      <c r="H31" s="74">
        <f>H32</f>
        <v>0</v>
      </c>
      <c r="I31" s="74">
        <f>I32</f>
        <v>0</v>
      </c>
      <c r="J31" s="101">
        <f t="shared" si="0"/>
        <v>0</v>
      </c>
      <c r="K31" s="74">
        <f>K32</f>
        <v>0</v>
      </c>
      <c r="L31" s="74">
        <f>L32</f>
        <v>0</v>
      </c>
    </row>
    <row r="32" spans="1:12" s="4" customFormat="1" ht="18" customHeight="1" hidden="1">
      <c r="A32" s="102" t="s">
        <v>692</v>
      </c>
      <c r="B32" s="99" t="s">
        <v>147</v>
      </c>
      <c r="C32" s="99" t="s">
        <v>131</v>
      </c>
      <c r="D32" s="99" t="s">
        <v>160</v>
      </c>
      <c r="E32" s="99" t="s">
        <v>811</v>
      </c>
      <c r="F32" s="99" t="s">
        <v>691</v>
      </c>
      <c r="G32" s="100"/>
      <c r="H32" s="74">
        <f>H33+H35+H34</f>
        <v>0</v>
      </c>
      <c r="I32" s="74">
        <f>I33+I35+I34</f>
        <v>0</v>
      </c>
      <c r="J32" s="101">
        <f t="shared" si="0"/>
        <v>0</v>
      </c>
      <c r="K32" s="74">
        <f>K33+K35+K34</f>
        <v>0</v>
      </c>
      <c r="L32" s="74">
        <f>L33+L35+L34</f>
        <v>0</v>
      </c>
    </row>
    <row r="33" spans="1:12" s="4" customFormat="1" ht="20.25" customHeight="1" hidden="1">
      <c r="A33" s="103" t="s">
        <v>75</v>
      </c>
      <c r="B33" s="99" t="s">
        <v>147</v>
      </c>
      <c r="C33" s="99" t="s">
        <v>131</v>
      </c>
      <c r="D33" s="99" t="s">
        <v>160</v>
      </c>
      <c r="E33" s="99" t="s">
        <v>811</v>
      </c>
      <c r="F33" s="99" t="s">
        <v>691</v>
      </c>
      <c r="G33" s="100" t="s">
        <v>74</v>
      </c>
      <c r="H33" s="74">
        <f>'Пр. 9'!I321</f>
        <v>0</v>
      </c>
      <c r="I33" s="74">
        <f>'Пр. 9'!J321</f>
        <v>0</v>
      </c>
      <c r="J33" s="101">
        <f t="shared" si="0"/>
        <v>0</v>
      </c>
      <c r="K33" s="74">
        <f>'Пр. 9'!L321</f>
        <v>0</v>
      </c>
      <c r="L33" s="74">
        <f>'Пр. 9'!M321</f>
        <v>0</v>
      </c>
    </row>
    <row r="34" spans="1:12" s="4" customFormat="1" ht="20.25" customHeight="1" hidden="1">
      <c r="A34" s="222" t="s">
        <v>77</v>
      </c>
      <c r="B34" s="99" t="s">
        <v>147</v>
      </c>
      <c r="C34" s="99" t="s">
        <v>131</v>
      </c>
      <c r="D34" s="99" t="s">
        <v>160</v>
      </c>
      <c r="E34" s="99" t="s">
        <v>811</v>
      </c>
      <c r="F34" s="99" t="s">
        <v>691</v>
      </c>
      <c r="G34" s="100" t="s">
        <v>78</v>
      </c>
      <c r="H34" s="74">
        <f>'Пр. 9'!I368</f>
        <v>0</v>
      </c>
      <c r="I34" s="74">
        <f>'Пр. 9'!J368</f>
        <v>0</v>
      </c>
      <c r="J34" s="101">
        <f t="shared" si="0"/>
        <v>0</v>
      </c>
      <c r="K34" s="74">
        <f>'Пр. 9'!L368</f>
        <v>0</v>
      </c>
      <c r="L34" s="74">
        <f>'Пр. 9'!M368</f>
        <v>0</v>
      </c>
    </row>
    <row r="35" spans="1:12" s="4" customFormat="1" ht="20.25" customHeight="1" hidden="1">
      <c r="A35" s="104" t="s">
        <v>99</v>
      </c>
      <c r="B35" s="99" t="s">
        <v>147</v>
      </c>
      <c r="C35" s="99" t="s">
        <v>131</v>
      </c>
      <c r="D35" s="99" t="s">
        <v>160</v>
      </c>
      <c r="E35" s="99" t="s">
        <v>811</v>
      </c>
      <c r="F35" s="99" t="s">
        <v>691</v>
      </c>
      <c r="G35" s="100" t="s">
        <v>100</v>
      </c>
      <c r="H35" s="74">
        <f>'Пр. 9'!I449</f>
        <v>0</v>
      </c>
      <c r="I35" s="74">
        <f>'Пр. 9'!J449</f>
        <v>0</v>
      </c>
      <c r="J35" s="101">
        <f t="shared" si="0"/>
        <v>0</v>
      </c>
      <c r="K35" s="74">
        <f>'Пр. 9'!L449</f>
        <v>0</v>
      </c>
      <c r="L35" s="74">
        <f>'Пр. 9'!M449</f>
        <v>0</v>
      </c>
    </row>
    <row r="36" spans="1:12" s="5" customFormat="1" ht="28.5">
      <c r="A36" s="97" t="s">
        <v>751</v>
      </c>
      <c r="B36" s="67" t="s">
        <v>147</v>
      </c>
      <c r="C36" s="67" t="s">
        <v>132</v>
      </c>
      <c r="D36" s="67" t="s">
        <v>149</v>
      </c>
      <c r="E36" s="67" t="s">
        <v>150</v>
      </c>
      <c r="F36" s="67"/>
      <c r="G36" s="95"/>
      <c r="H36" s="36">
        <f>H37</f>
        <v>2607.1</v>
      </c>
      <c r="I36" s="36">
        <f>I37</f>
        <v>2607.1</v>
      </c>
      <c r="J36" s="96">
        <f t="shared" si="0"/>
        <v>0</v>
      </c>
      <c r="K36" s="119">
        <f>K37</f>
        <v>1028.2</v>
      </c>
      <c r="L36" s="119">
        <f>L37</f>
        <v>550</v>
      </c>
    </row>
    <row r="37" spans="1:12" s="5" customFormat="1" ht="42.75">
      <c r="A37" s="105" t="s">
        <v>752</v>
      </c>
      <c r="B37" s="67" t="s">
        <v>147</v>
      </c>
      <c r="C37" s="67" t="s">
        <v>132</v>
      </c>
      <c r="D37" s="67" t="s">
        <v>147</v>
      </c>
      <c r="E37" s="67" t="s">
        <v>150</v>
      </c>
      <c r="F37" s="67"/>
      <c r="G37" s="106"/>
      <c r="H37" s="36">
        <f>H38+H41+H46+H49</f>
        <v>2607.1</v>
      </c>
      <c r="I37" s="36">
        <f>I38+I41+I46+I49</f>
        <v>2607.1</v>
      </c>
      <c r="J37" s="96">
        <f t="shared" si="0"/>
        <v>0</v>
      </c>
      <c r="K37" s="36">
        <f>K38+K41+K46+K49</f>
        <v>1028.2</v>
      </c>
      <c r="L37" s="36">
        <f>L38+L41+L46+L49</f>
        <v>550</v>
      </c>
    </row>
    <row r="38" spans="1:12" s="4" customFormat="1" ht="45">
      <c r="A38" s="107" t="s">
        <v>525</v>
      </c>
      <c r="B38" s="99" t="s">
        <v>147</v>
      </c>
      <c r="C38" s="99" t="s">
        <v>132</v>
      </c>
      <c r="D38" s="99" t="s">
        <v>147</v>
      </c>
      <c r="E38" s="99" t="s">
        <v>524</v>
      </c>
      <c r="F38" s="99"/>
      <c r="G38" s="108"/>
      <c r="H38" s="74">
        <f>H39</f>
        <v>150</v>
      </c>
      <c r="I38" s="74">
        <f>I39</f>
        <v>150</v>
      </c>
      <c r="J38" s="101">
        <f t="shared" si="0"/>
        <v>0</v>
      </c>
      <c r="K38" s="119">
        <f>K39</f>
        <v>728.2</v>
      </c>
      <c r="L38" s="119">
        <f>L39</f>
        <v>550</v>
      </c>
    </row>
    <row r="39" spans="1:12" s="4" customFormat="1" ht="15">
      <c r="A39" s="102" t="s">
        <v>692</v>
      </c>
      <c r="B39" s="99" t="s">
        <v>147</v>
      </c>
      <c r="C39" s="99" t="s">
        <v>132</v>
      </c>
      <c r="D39" s="99" t="s">
        <v>147</v>
      </c>
      <c r="E39" s="99" t="s">
        <v>524</v>
      </c>
      <c r="F39" s="99" t="s">
        <v>691</v>
      </c>
      <c r="G39" s="100"/>
      <c r="H39" s="74">
        <f>H40</f>
        <v>150</v>
      </c>
      <c r="I39" s="74">
        <f>I40</f>
        <v>150</v>
      </c>
      <c r="J39" s="101">
        <f t="shared" si="0"/>
        <v>0</v>
      </c>
      <c r="K39" s="119">
        <f>K40</f>
        <v>728.2</v>
      </c>
      <c r="L39" s="119">
        <f>L40</f>
        <v>550</v>
      </c>
    </row>
    <row r="40" spans="1:12" s="4" customFormat="1" ht="15">
      <c r="A40" s="22" t="s">
        <v>73</v>
      </c>
      <c r="B40" s="99" t="s">
        <v>147</v>
      </c>
      <c r="C40" s="99" t="s">
        <v>132</v>
      </c>
      <c r="D40" s="99" t="s">
        <v>147</v>
      </c>
      <c r="E40" s="99" t="s">
        <v>524</v>
      </c>
      <c r="F40" s="99" t="s">
        <v>691</v>
      </c>
      <c r="G40" s="100" t="s">
        <v>74</v>
      </c>
      <c r="H40" s="74">
        <f>'Пр. 9'!I325</f>
        <v>150</v>
      </c>
      <c r="I40" s="74">
        <f>'Пр. 9'!J325</f>
        <v>150</v>
      </c>
      <c r="J40" s="101">
        <f t="shared" si="0"/>
        <v>0</v>
      </c>
      <c r="K40" s="74">
        <f>'Пр. 9'!L325</f>
        <v>728.2</v>
      </c>
      <c r="L40" s="74">
        <f>'Пр. 9'!M325</f>
        <v>550</v>
      </c>
    </row>
    <row r="41" spans="1:12" s="4" customFormat="1" ht="45">
      <c r="A41" s="109" t="s">
        <v>154</v>
      </c>
      <c r="B41" s="99" t="s">
        <v>147</v>
      </c>
      <c r="C41" s="99" t="s">
        <v>132</v>
      </c>
      <c r="D41" s="99" t="s">
        <v>147</v>
      </c>
      <c r="E41" s="99" t="s">
        <v>155</v>
      </c>
      <c r="F41" s="99"/>
      <c r="G41" s="100"/>
      <c r="H41" s="74">
        <f>H42+H44</f>
        <v>0</v>
      </c>
      <c r="I41" s="74">
        <f>I42+I44</f>
        <v>0</v>
      </c>
      <c r="J41" s="101">
        <f t="shared" si="0"/>
        <v>0</v>
      </c>
      <c r="K41" s="74">
        <f>K42+K44</f>
        <v>300</v>
      </c>
      <c r="L41" s="74">
        <f>L42+L44</f>
        <v>0</v>
      </c>
    </row>
    <row r="42" spans="1:12" s="4" customFormat="1" ht="30">
      <c r="A42" s="22" t="s">
        <v>683</v>
      </c>
      <c r="B42" s="99" t="s">
        <v>147</v>
      </c>
      <c r="C42" s="99" t="s">
        <v>132</v>
      </c>
      <c r="D42" s="99" t="s">
        <v>147</v>
      </c>
      <c r="E42" s="99" t="s">
        <v>155</v>
      </c>
      <c r="F42" s="99" t="s">
        <v>682</v>
      </c>
      <c r="G42" s="100"/>
      <c r="H42" s="74">
        <f>H43</f>
        <v>0</v>
      </c>
      <c r="I42" s="74">
        <f>I43</f>
        <v>0</v>
      </c>
      <c r="J42" s="101">
        <f t="shared" si="0"/>
        <v>0</v>
      </c>
      <c r="K42" s="119">
        <f>K43</f>
        <v>300</v>
      </c>
      <c r="L42" s="119">
        <f>L43</f>
        <v>0</v>
      </c>
    </row>
    <row r="43" spans="1:12" s="4" customFormat="1" ht="15">
      <c r="A43" s="22" t="s">
        <v>73</v>
      </c>
      <c r="B43" s="99" t="s">
        <v>147</v>
      </c>
      <c r="C43" s="99" t="s">
        <v>132</v>
      </c>
      <c r="D43" s="99" t="s">
        <v>147</v>
      </c>
      <c r="E43" s="99" t="s">
        <v>155</v>
      </c>
      <c r="F43" s="99" t="s">
        <v>682</v>
      </c>
      <c r="G43" s="100" t="s">
        <v>74</v>
      </c>
      <c r="H43" s="74">
        <f>'Пр. 9'!I327</f>
        <v>0</v>
      </c>
      <c r="I43" s="74">
        <f>'Пр. 9'!J327</f>
        <v>0</v>
      </c>
      <c r="J43" s="101">
        <f t="shared" si="0"/>
        <v>0</v>
      </c>
      <c r="K43" s="74">
        <f>'Пр. 9'!L327</f>
        <v>300</v>
      </c>
      <c r="L43" s="74">
        <f>'Пр. 9'!M327</f>
        <v>0</v>
      </c>
    </row>
    <row r="44" spans="1:12" s="4" customFormat="1" ht="15" hidden="1">
      <c r="A44" s="111" t="s">
        <v>692</v>
      </c>
      <c r="B44" s="99" t="s">
        <v>147</v>
      </c>
      <c r="C44" s="99" t="s">
        <v>132</v>
      </c>
      <c r="D44" s="99" t="s">
        <v>147</v>
      </c>
      <c r="E44" s="99" t="s">
        <v>155</v>
      </c>
      <c r="F44" s="99" t="s">
        <v>691</v>
      </c>
      <c r="G44" s="100"/>
      <c r="H44" s="74">
        <f>H45</f>
        <v>0</v>
      </c>
      <c r="I44" s="74">
        <f>I45</f>
        <v>0</v>
      </c>
      <c r="J44" s="101">
        <f t="shared" si="0"/>
        <v>0</v>
      </c>
      <c r="K44" s="74">
        <f>K45</f>
        <v>0</v>
      </c>
      <c r="L44" s="74">
        <f>L45</f>
        <v>0</v>
      </c>
    </row>
    <row r="45" spans="1:12" s="4" customFormat="1" ht="15" hidden="1">
      <c r="A45" s="22" t="s">
        <v>73</v>
      </c>
      <c r="B45" s="99" t="s">
        <v>147</v>
      </c>
      <c r="C45" s="99" t="s">
        <v>132</v>
      </c>
      <c r="D45" s="99" t="s">
        <v>147</v>
      </c>
      <c r="E45" s="99" t="s">
        <v>155</v>
      </c>
      <c r="F45" s="99" t="s">
        <v>691</v>
      </c>
      <c r="G45" s="100" t="s">
        <v>74</v>
      </c>
      <c r="H45" s="74">
        <f>'Пр. 9'!I328</f>
        <v>0</v>
      </c>
      <c r="I45" s="74">
        <f>'Пр. 9'!J328</f>
        <v>0</v>
      </c>
      <c r="J45" s="101">
        <f t="shared" si="0"/>
        <v>0</v>
      </c>
      <c r="K45" s="74">
        <f>'Пр. 9'!L328</f>
        <v>0</v>
      </c>
      <c r="L45" s="74">
        <f>'Пр. 9'!M328</f>
        <v>0</v>
      </c>
    </row>
    <row r="46" spans="1:12" s="4" customFormat="1" ht="30">
      <c r="A46" s="109" t="s">
        <v>1009</v>
      </c>
      <c r="B46" s="99" t="s">
        <v>147</v>
      </c>
      <c r="C46" s="99" t="s">
        <v>132</v>
      </c>
      <c r="D46" s="99" t="s">
        <v>147</v>
      </c>
      <c r="E46" s="99" t="s">
        <v>1005</v>
      </c>
      <c r="F46" s="99"/>
      <c r="G46" s="100"/>
      <c r="H46" s="74">
        <f>H47</f>
        <v>2457.1</v>
      </c>
      <c r="I46" s="74">
        <f>I47</f>
        <v>2457.1</v>
      </c>
      <c r="J46" s="101">
        <f t="shared" si="0"/>
        <v>0</v>
      </c>
      <c r="K46" s="74">
        <f>K47</f>
        <v>0</v>
      </c>
      <c r="L46" s="74">
        <f>L47</f>
        <v>0</v>
      </c>
    </row>
    <row r="47" spans="1:12" s="4" customFormat="1" ht="30">
      <c r="A47" s="102" t="s">
        <v>696</v>
      </c>
      <c r="B47" s="99" t="s">
        <v>147</v>
      </c>
      <c r="C47" s="99" t="s">
        <v>132</v>
      </c>
      <c r="D47" s="99" t="s">
        <v>147</v>
      </c>
      <c r="E47" s="99" t="s">
        <v>1005</v>
      </c>
      <c r="F47" s="99" t="s">
        <v>693</v>
      </c>
      <c r="G47" s="100"/>
      <c r="H47" s="74">
        <f>H48</f>
        <v>2457.1</v>
      </c>
      <c r="I47" s="74">
        <f>I48</f>
        <v>2457.1</v>
      </c>
      <c r="J47" s="101">
        <f t="shared" si="0"/>
        <v>0</v>
      </c>
      <c r="K47" s="74">
        <f>K48</f>
        <v>0</v>
      </c>
      <c r="L47" s="74">
        <f>L48</f>
        <v>0</v>
      </c>
    </row>
    <row r="48" spans="1:12" s="4" customFormat="1" ht="15">
      <c r="A48" s="22" t="s">
        <v>73</v>
      </c>
      <c r="B48" s="99" t="s">
        <v>147</v>
      </c>
      <c r="C48" s="99" t="s">
        <v>132</v>
      </c>
      <c r="D48" s="99" t="s">
        <v>147</v>
      </c>
      <c r="E48" s="99" t="s">
        <v>1005</v>
      </c>
      <c r="F48" s="99" t="s">
        <v>693</v>
      </c>
      <c r="G48" s="100" t="s">
        <v>74</v>
      </c>
      <c r="H48" s="74">
        <f>'Пр. 9'!I330</f>
        <v>2457.1</v>
      </c>
      <c r="I48" s="74">
        <f>'Пр. 9'!J330</f>
        <v>2457.1</v>
      </c>
      <c r="J48" s="101">
        <f t="shared" si="0"/>
        <v>0</v>
      </c>
      <c r="K48" s="74">
        <f>'Пр. 9'!L330</f>
        <v>0</v>
      </c>
      <c r="L48" s="74">
        <f>'Пр. 9'!M330</f>
        <v>0</v>
      </c>
    </row>
    <row r="49" spans="1:12" s="4" customFormat="1" ht="45" hidden="1">
      <c r="A49" s="109" t="s">
        <v>1033</v>
      </c>
      <c r="B49" s="99" t="s">
        <v>147</v>
      </c>
      <c r="C49" s="99" t="s">
        <v>132</v>
      </c>
      <c r="D49" s="99" t="s">
        <v>147</v>
      </c>
      <c r="E49" s="99" t="s">
        <v>1034</v>
      </c>
      <c r="F49" s="99"/>
      <c r="G49" s="100"/>
      <c r="H49" s="74">
        <f aca="true" t="shared" si="1" ref="H49:L50">H50</f>
        <v>0</v>
      </c>
      <c r="I49" s="74">
        <f t="shared" si="1"/>
        <v>0</v>
      </c>
      <c r="J49" s="96">
        <f t="shared" si="0"/>
        <v>0</v>
      </c>
      <c r="K49" s="74">
        <f t="shared" si="1"/>
        <v>0</v>
      </c>
      <c r="L49" s="74">
        <f t="shared" si="1"/>
        <v>0</v>
      </c>
    </row>
    <row r="50" spans="1:12" s="4" customFormat="1" ht="15" hidden="1">
      <c r="A50" s="111" t="s">
        <v>692</v>
      </c>
      <c r="B50" s="99" t="s">
        <v>147</v>
      </c>
      <c r="C50" s="99" t="s">
        <v>132</v>
      </c>
      <c r="D50" s="99" t="s">
        <v>147</v>
      </c>
      <c r="E50" s="99" t="s">
        <v>1034</v>
      </c>
      <c r="F50" s="99" t="s">
        <v>691</v>
      </c>
      <c r="G50" s="100"/>
      <c r="H50" s="74">
        <f t="shared" si="1"/>
        <v>0</v>
      </c>
      <c r="I50" s="74">
        <f t="shared" si="1"/>
        <v>0</v>
      </c>
      <c r="J50" s="96">
        <f t="shared" si="0"/>
        <v>0</v>
      </c>
      <c r="K50" s="74">
        <f t="shared" si="1"/>
        <v>0</v>
      </c>
      <c r="L50" s="74">
        <f t="shared" si="1"/>
        <v>0</v>
      </c>
    </row>
    <row r="51" spans="1:12" s="4" customFormat="1" ht="15" hidden="1">
      <c r="A51" s="22" t="s">
        <v>73</v>
      </c>
      <c r="B51" s="99" t="s">
        <v>147</v>
      </c>
      <c r="C51" s="99" t="s">
        <v>132</v>
      </c>
      <c r="D51" s="99" t="s">
        <v>147</v>
      </c>
      <c r="E51" s="99" t="s">
        <v>1034</v>
      </c>
      <c r="F51" s="99" t="s">
        <v>691</v>
      </c>
      <c r="G51" s="100" t="s">
        <v>74</v>
      </c>
      <c r="H51" s="74">
        <f>'Пр. 9'!I332</f>
        <v>0</v>
      </c>
      <c r="I51" s="74">
        <f>'Пр. 9'!J332</f>
        <v>0</v>
      </c>
      <c r="J51" s="96">
        <f t="shared" si="0"/>
        <v>0</v>
      </c>
      <c r="K51" s="74">
        <f>'Пр. 9'!L332</f>
        <v>0</v>
      </c>
      <c r="L51" s="74">
        <f>'Пр. 9'!M332</f>
        <v>0</v>
      </c>
    </row>
    <row r="52" spans="1:12" s="5" customFormat="1" ht="28.5">
      <c r="A52" s="105" t="s">
        <v>753</v>
      </c>
      <c r="B52" s="67" t="s">
        <v>147</v>
      </c>
      <c r="C52" s="67" t="s">
        <v>134</v>
      </c>
      <c r="D52" s="67" t="s">
        <v>149</v>
      </c>
      <c r="E52" s="67" t="s">
        <v>150</v>
      </c>
      <c r="F52" s="67"/>
      <c r="G52" s="95"/>
      <c r="H52" s="36">
        <f>H53</f>
        <v>85</v>
      </c>
      <c r="I52" s="36">
        <f>I53</f>
        <v>85</v>
      </c>
      <c r="J52" s="96">
        <f t="shared" si="0"/>
        <v>0</v>
      </c>
      <c r="K52" s="36">
        <f>K53</f>
        <v>273</v>
      </c>
      <c r="L52" s="36">
        <f>L53</f>
        <v>295</v>
      </c>
    </row>
    <row r="53" spans="1:12" s="5" customFormat="1" ht="42.75">
      <c r="A53" s="105" t="s">
        <v>754</v>
      </c>
      <c r="B53" s="67" t="s">
        <v>147</v>
      </c>
      <c r="C53" s="67" t="s">
        <v>134</v>
      </c>
      <c r="D53" s="67" t="s">
        <v>147</v>
      </c>
      <c r="E53" s="67" t="s">
        <v>150</v>
      </c>
      <c r="F53" s="67"/>
      <c r="G53" s="95"/>
      <c r="H53" s="36">
        <f>H54+H60+H57</f>
        <v>85</v>
      </c>
      <c r="I53" s="36">
        <f>I54+I60+I57</f>
        <v>85</v>
      </c>
      <c r="J53" s="96">
        <f t="shared" si="0"/>
        <v>0</v>
      </c>
      <c r="K53" s="36">
        <f>K54+K60+K57</f>
        <v>273</v>
      </c>
      <c r="L53" s="36">
        <f>L54+L60+L57</f>
        <v>295</v>
      </c>
    </row>
    <row r="54" spans="1:12" s="4" customFormat="1" ht="45">
      <c r="A54" s="103" t="s">
        <v>808</v>
      </c>
      <c r="B54" s="99" t="s">
        <v>147</v>
      </c>
      <c r="C54" s="99" t="s">
        <v>134</v>
      </c>
      <c r="D54" s="99" t="s">
        <v>147</v>
      </c>
      <c r="E54" s="99" t="s">
        <v>156</v>
      </c>
      <c r="F54" s="99"/>
      <c r="G54" s="100"/>
      <c r="H54" s="74">
        <f>H55</f>
        <v>85</v>
      </c>
      <c r="I54" s="74">
        <f>I55</f>
        <v>85</v>
      </c>
      <c r="J54" s="101">
        <f t="shared" si="0"/>
        <v>0</v>
      </c>
      <c r="K54" s="74">
        <f>K55</f>
        <v>273</v>
      </c>
      <c r="L54" s="74">
        <f>L55</f>
        <v>0</v>
      </c>
    </row>
    <row r="55" spans="1:12" s="4" customFormat="1" ht="15">
      <c r="A55" s="103" t="s">
        <v>690</v>
      </c>
      <c r="B55" s="99" t="s">
        <v>147</v>
      </c>
      <c r="C55" s="99" t="s">
        <v>134</v>
      </c>
      <c r="D55" s="99" t="s">
        <v>147</v>
      </c>
      <c r="E55" s="99" t="s">
        <v>156</v>
      </c>
      <c r="F55" s="99" t="s">
        <v>691</v>
      </c>
      <c r="G55" s="100"/>
      <c r="H55" s="74">
        <f>H56</f>
        <v>85</v>
      </c>
      <c r="I55" s="74">
        <f>I56</f>
        <v>85</v>
      </c>
      <c r="J55" s="101">
        <f t="shared" si="0"/>
        <v>0</v>
      </c>
      <c r="K55" s="74">
        <f>K56</f>
        <v>273</v>
      </c>
      <c r="L55" s="74">
        <f>L56</f>
        <v>0</v>
      </c>
    </row>
    <row r="56" spans="1:12" s="4" customFormat="1" ht="15">
      <c r="A56" s="22" t="s">
        <v>73</v>
      </c>
      <c r="B56" s="99" t="s">
        <v>147</v>
      </c>
      <c r="C56" s="99" t="s">
        <v>134</v>
      </c>
      <c r="D56" s="99" t="s">
        <v>147</v>
      </c>
      <c r="E56" s="99" t="s">
        <v>156</v>
      </c>
      <c r="F56" s="99" t="s">
        <v>691</v>
      </c>
      <c r="G56" s="100" t="s">
        <v>74</v>
      </c>
      <c r="H56" s="74">
        <f>'Пр. 9'!I336</f>
        <v>85</v>
      </c>
      <c r="I56" s="74">
        <f>'Пр. 9'!J336</f>
        <v>85</v>
      </c>
      <c r="J56" s="101">
        <f t="shared" si="0"/>
        <v>0</v>
      </c>
      <c r="K56" s="74">
        <f>'Пр. 9'!L336</f>
        <v>273</v>
      </c>
      <c r="L56" s="74">
        <f>'Пр. 9'!M336</f>
        <v>0</v>
      </c>
    </row>
    <row r="57" spans="1:12" s="4" customFormat="1" ht="45">
      <c r="A57" s="22" t="s">
        <v>954</v>
      </c>
      <c r="B57" s="99" t="s">
        <v>147</v>
      </c>
      <c r="C57" s="99" t="s">
        <v>134</v>
      </c>
      <c r="D57" s="99" t="s">
        <v>147</v>
      </c>
      <c r="E57" s="99" t="s">
        <v>953</v>
      </c>
      <c r="F57" s="99"/>
      <c r="G57" s="100"/>
      <c r="H57" s="74">
        <f>H58</f>
        <v>0</v>
      </c>
      <c r="I57" s="74">
        <f>I58</f>
        <v>0</v>
      </c>
      <c r="J57" s="101">
        <f t="shared" si="0"/>
        <v>0</v>
      </c>
      <c r="K57" s="74">
        <f>K58</f>
        <v>0</v>
      </c>
      <c r="L57" s="74">
        <f>L58</f>
        <v>295</v>
      </c>
    </row>
    <row r="58" spans="1:12" s="4" customFormat="1" ht="15">
      <c r="A58" s="103" t="s">
        <v>690</v>
      </c>
      <c r="B58" s="99" t="s">
        <v>147</v>
      </c>
      <c r="C58" s="99" t="s">
        <v>134</v>
      </c>
      <c r="D58" s="99" t="s">
        <v>147</v>
      </c>
      <c r="E58" s="99" t="s">
        <v>953</v>
      </c>
      <c r="F58" s="99" t="s">
        <v>691</v>
      </c>
      <c r="G58" s="100"/>
      <c r="H58" s="74">
        <f>H59</f>
        <v>0</v>
      </c>
      <c r="I58" s="74">
        <f>I59</f>
        <v>0</v>
      </c>
      <c r="J58" s="101">
        <f t="shared" si="0"/>
        <v>0</v>
      </c>
      <c r="K58" s="74">
        <f>K59</f>
        <v>0</v>
      </c>
      <c r="L58" s="74">
        <f>L59</f>
        <v>295</v>
      </c>
    </row>
    <row r="59" spans="1:12" s="4" customFormat="1" ht="15">
      <c r="A59" s="22" t="s">
        <v>73</v>
      </c>
      <c r="B59" s="99" t="s">
        <v>147</v>
      </c>
      <c r="C59" s="99" t="s">
        <v>134</v>
      </c>
      <c r="D59" s="99" t="s">
        <v>147</v>
      </c>
      <c r="E59" s="99" t="s">
        <v>953</v>
      </c>
      <c r="F59" s="99" t="s">
        <v>691</v>
      </c>
      <c r="G59" s="100" t="s">
        <v>74</v>
      </c>
      <c r="H59" s="74">
        <f>'Пр. 9'!I338</f>
        <v>0</v>
      </c>
      <c r="I59" s="74">
        <f>'Пр. 9'!J338</f>
        <v>0</v>
      </c>
      <c r="J59" s="101">
        <f t="shared" si="0"/>
        <v>0</v>
      </c>
      <c r="K59" s="74">
        <f>'Пр. 9'!L338</f>
        <v>0</v>
      </c>
      <c r="L59" s="74">
        <f>'Пр. 9'!M338</f>
        <v>295</v>
      </c>
    </row>
    <row r="60" spans="1:12" s="4" customFormat="1" ht="15" hidden="1">
      <c r="A60" s="103" t="s">
        <v>157</v>
      </c>
      <c r="B60" s="99" t="s">
        <v>147</v>
      </c>
      <c r="C60" s="99" t="s">
        <v>134</v>
      </c>
      <c r="D60" s="99" t="s">
        <v>147</v>
      </c>
      <c r="E60" s="99" t="s">
        <v>158</v>
      </c>
      <c r="F60" s="99"/>
      <c r="G60" s="100"/>
      <c r="H60" s="74">
        <f>H61</f>
        <v>0</v>
      </c>
      <c r="I60" s="74">
        <f>I61</f>
        <v>0</v>
      </c>
      <c r="J60" s="96">
        <f t="shared" si="0"/>
        <v>0</v>
      </c>
      <c r="K60" s="74">
        <f>K61</f>
        <v>0</v>
      </c>
      <c r="L60" s="74">
        <f>L61</f>
        <v>0</v>
      </c>
    </row>
    <row r="61" spans="1:12" s="4" customFormat="1" ht="15" hidden="1">
      <c r="A61" s="103" t="s">
        <v>690</v>
      </c>
      <c r="B61" s="99" t="s">
        <v>147</v>
      </c>
      <c r="C61" s="99" t="s">
        <v>134</v>
      </c>
      <c r="D61" s="99" t="s">
        <v>147</v>
      </c>
      <c r="E61" s="99" t="s">
        <v>158</v>
      </c>
      <c r="F61" s="99" t="s">
        <v>691</v>
      </c>
      <c r="G61" s="100"/>
      <c r="H61" s="74">
        <f>H62</f>
        <v>0</v>
      </c>
      <c r="I61" s="74">
        <f>I62</f>
        <v>0</v>
      </c>
      <c r="J61" s="96">
        <f t="shared" si="0"/>
        <v>0</v>
      </c>
      <c r="K61" s="74">
        <f>K62</f>
        <v>0</v>
      </c>
      <c r="L61" s="74">
        <f>L62</f>
        <v>0</v>
      </c>
    </row>
    <row r="62" spans="1:12" s="4" customFormat="1" ht="15" hidden="1">
      <c r="A62" s="22" t="s">
        <v>73</v>
      </c>
      <c r="B62" s="99" t="s">
        <v>147</v>
      </c>
      <c r="C62" s="99" t="s">
        <v>134</v>
      </c>
      <c r="D62" s="99" t="s">
        <v>147</v>
      </c>
      <c r="E62" s="99" t="s">
        <v>158</v>
      </c>
      <c r="F62" s="99" t="s">
        <v>691</v>
      </c>
      <c r="G62" s="100" t="s">
        <v>74</v>
      </c>
      <c r="H62" s="74">
        <f>'Пр. 9'!I340</f>
        <v>0</v>
      </c>
      <c r="I62" s="74">
        <f>'Пр. 9'!J340</f>
        <v>0</v>
      </c>
      <c r="J62" s="96">
        <f t="shared" si="0"/>
        <v>0</v>
      </c>
      <c r="K62" s="74">
        <f>'Пр. 9'!L340</f>
        <v>0</v>
      </c>
      <c r="L62" s="74">
        <f>'Пр. 9'!M340</f>
        <v>0</v>
      </c>
    </row>
    <row r="63" spans="1:12" s="5" customFormat="1" ht="28.5">
      <c r="A63" s="110" t="s">
        <v>835</v>
      </c>
      <c r="B63" s="67" t="s">
        <v>147</v>
      </c>
      <c r="C63" s="67" t="s">
        <v>135</v>
      </c>
      <c r="D63" s="67" t="s">
        <v>149</v>
      </c>
      <c r="E63" s="67" t="s">
        <v>150</v>
      </c>
      <c r="F63" s="67"/>
      <c r="G63" s="95"/>
      <c r="H63" s="36">
        <f>H64+H68</f>
        <v>5350</v>
      </c>
      <c r="I63" s="36">
        <f>I64+I68</f>
        <v>5350</v>
      </c>
      <c r="J63" s="96">
        <f t="shared" si="0"/>
        <v>0</v>
      </c>
      <c r="K63" s="36">
        <f>K64+K68</f>
        <v>6872.2</v>
      </c>
      <c r="L63" s="36">
        <f>L64+L68</f>
        <v>4522.2</v>
      </c>
    </row>
    <row r="64" spans="1:12" s="5" customFormat="1" ht="28.5" hidden="1">
      <c r="A64" s="110" t="s">
        <v>836</v>
      </c>
      <c r="B64" s="67" t="s">
        <v>147</v>
      </c>
      <c r="C64" s="67" t="s">
        <v>135</v>
      </c>
      <c r="D64" s="67" t="s">
        <v>147</v>
      </c>
      <c r="E64" s="67" t="s">
        <v>150</v>
      </c>
      <c r="F64" s="67"/>
      <c r="G64" s="95"/>
      <c r="H64" s="36">
        <f>H65</f>
        <v>0</v>
      </c>
      <c r="I64" s="36">
        <f>I65</f>
        <v>0</v>
      </c>
      <c r="J64" s="96">
        <f t="shared" si="0"/>
        <v>0</v>
      </c>
      <c r="K64" s="36">
        <f>K65</f>
        <v>0</v>
      </c>
      <c r="L64" s="36">
        <f>L65</f>
        <v>0</v>
      </c>
    </row>
    <row r="65" spans="1:12" s="4" customFormat="1" ht="30" hidden="1">
      <c r="A65" s="111" t="s">
        <v>521</v>
      </c>
      <c r="B65" s="99" t="s">
        <v>147</v>
      </c>
      <c r="C65" s="99" t="s">
        <v>135</v>
      </c>
      <c r="D65" s="99" t="s">
        <v>147</v>
      </c>
      <c r="E65" s="99" t="s">
        <v>330</v>
      </c>
      <c r="F65" s="99"/>
      <c r="G65" s="99"/>
      <c r="H65" s="74">
        <f aca="true" t="shared" si="2" ref="H65:L66">H66</f>
        <v>0</v>
      </c>
      <c r="I65" s="74">
        <f t="shared" si="2"/>
        <v>0</v>
      </c>
      <c r="J65" s="96">
        <f t="shared" si="0"/>
        <v>0</v>
      </c>
      <c r="K65" s="74">
        <f t="shared" si="2"/>
        <v>0</v>
      </c>
      <c r="L65" s="74">
        <f t="shared" si="2"/>
        <v>0</v>
      </c>
    </row>
    <row r="66" spans="1:12" s="4" customFormat="1" ht="30" hidden="1">
      <c r="A66" s="111" t="s">
        <v>683</v>
      </c>
      <c r="B66" s="99" t="s">
        <v>147</v>
      </c>
      <c r="C66" s="99" t="s">
        <v>135</v>
      </c>
      <c r="D66" s="99" t="s">
        <v>147</v>
      </c>
      <c r="E66" s="99" t="s">
        <v>330</v>
      </c>
      <c r="F66" s="99" t="s">
        <v>682</v>
      </c>
      <c r="G66" s="99"/>
      <c r="H66" s="74">
        <f t="shared" si="2"/>
        <v>0</v>
      </c>
      <c r="I66" s="74">
        <f t="shared" si="2"/>
        <v>0</v>
      </c>
      <c r="J66" s="96">
        <f t="shared" si="0"/>
        <v>0</v>
      </c>
      <c r="K66" s="74">
        <f t="shared" si="2"/>
        <v>0</v>
      </c>
      <c r="L66" s="74">
        <f t="shared" si="2"/>
        <v>0</v>
      </c>
    </row>
    <row r="67" spans="1:12" s="4" customFormat="1" ht="15" hidden="1">
      <c r="A67" s="111" t="s">
        <v>61</v>
      </c>
      <c r="B67" s="99" t="s">
        <v>147</v>
      </c>
      <c r="C67" s="99" t="s">
        <v>135</v>
      </c>
      <c r="D67" s="99" t="s">
        <v>147</v>
      </c>
      <c r="E67" s="99" t="s">
        <v>330</v>
      </c>
      <c r="F67" s="99" t="s">
        <v>682</v>
      </c>
      <c r="G67" s="99" t="s">
        <v>62</v>
      </c>
      <c r="H67" s="74">
        <f>'Пр. 9'!I212</f>
        <v>0</v>
      </c>
      <c r="I67" s="74">
        <f>'Пр. 9'!J212</f>
        <v>0</v>
      </c>
      <c r="J67" s="96">
        <f t="shared" si="0"/>
        <v>0</v>
      </c>
      <c r="K67" s="74">
        <f>'Пр. 9'!L212</f>
        <v>0</v>
      </c>
      <c r="L67" s="74">
        <f>'Пр. 9'!M212</f>
        <v>0</v>
      </c>
    </row>
    <row r="68" spans="1:12" s="4" customFormat="1" ht="42.75">
      <c r="A68" s="110" t="s">
        <v>981</v>
      </c>
      <c r="B68" s="67" t="s">
        <v>147</v>
      </c>
      <c r="C68" s="67" t="s">
        <v>135</v>
      </c>
      <c r="D68" s="67" t="s">
        <v>160</v>
      </c>
      <c r="E68" s="67" t="s">
        <v>150</v>
      </c>
      <c r="F68" s="67"/>
      <c r="G68" s="67"/>
      <c r="H68" s="36">
        <f>H69+H72+H78+H75</f>
        <v>5350</v>
      </c>
      <c r="I68" s="36">
        <f>I69+I72+I78+I75</f>
        <v>5350</v>
      </c>
      <c r="J68" s="96">
        <f t="shared" si="0"/>
        <v>0</v>
      </c>
      <c r="K68" s="36">
        <f>K69+K72+K78+K75</f>
        <v>6872.2</v>
      </c>
      <c r="L68" s="36">
        <f>L69+L72+L78+L75</f>
        <v>4522.2</v>
      </c>
    </row>
    <row r="69" spans="1:12" s="4" customFormat="1" ht="15">
      <c r="A69" s="22" t="s">
        <v>832</v>
      </c>
      <c r="B69" s="99" t="s">
        <v>147</v>
      </c>
      <c r="C69" s="99" t="s">
        <v>135</v>
      </c>
      <c r="D69" s="99" t="s">
        <v>160</v>
      </c>
      <c r="E69" s="99" t="s">
        <v>375</v>
      </c>
      <c r="F69" s="99"/>
      <c r="G69" s="100"/>
      <c r="H69" s="74">
        <f>H70</f>
        <v>500</v>
      </c>
      <c r="I69" s="74">
        <f>I70</f>
        <v>500</v>
      </c>
      <c r="J69" s="101">
        <f t="shared" si="0"/>
        <v>0</v>
      </c>
      <c r="K69" s="74">
        <f>K70</f>
        <v>0</v>
      </c>
      <c r="L69" s="74">
        <f>L70</f>
        <v>500</v>
      </c>
    </row>
    <row r="70" spans="1:12" s="4" customFormat="1" ht="30">
      <c r="A70" s="22" t="s">
        <v>683</v>
      </c>
      <c r="B70" s="99" t="s">
        <v>147</v>
      </c>
      <c r="C70" s="99" t="s">
        <v>135</v>
      </c>
      <c r="D70" s="99" t="s">
        <v>160</v>
      </c>
      <c r="E70" s="99" t="s">
        <v>375</v>
      </c>
      <c r="F70" s="99" t="s">
        <v>682</v>
      </c>
      <c r="G70" s="100"/>
      <c r="H70" s="74">
        <f>H71</f>
        <v>500</v>
      </c>
      <c r="I70" s="74">
        <f>I71</f>
        <v>500</v>
      </c>
      <c r="J70" s="101">
        <f t="shared" si="0"/>
        <v>0</v>
      </c>
      <c r="K70" s="74">
        <f>K71</f>
        <v>0</v>
      </c>
      <c r="L70" s="74">
        <f>L71</f>
        <v>500</v>
      </c>
    </row>
    <row r="71" spans="1:12" s="4" customFormat="1" ht="15">
      <c r="A71" s="22" t="s">
        <v>63</v>
      </c>
      <c r="B71" s="99" t="s">
        <v>147</v>
      </c>
      <c r="C71" s="99" t="s">
        <v>135</v>
      </c>
      <c r="D71" s="99" t="s">
        <v>160</v>
      </c>
      <c r="E71" s="99" t="s">
        <v>375</v>
      </c>
      <c r="F71" s="99" t="s">
        <v>682</v>
      </c>
      <c r="G71" s="100" t="s">
        <v>64</v>
      </c>
      <c r="H71" s="74">
        <f>'Пр. 9'!I747</f>
        <v>500</v>
      </c>
      <c r="I71" s="74">
        <f>'Пр. 9'!J747</f>
        <v>500</v>
      </c>
      <c r="J71" s="101">
        <f t="shared" si="0"/>
        <v>0</v>
      </c>
      <c r="K71" s="74">
        <f>'Пр. 9'!L747</f>
        <v>0</v>
      </c>
      <c r="L71" s="74">
        <f>'Пр. 9'!M747</f>
        <v>500</v>
      </c>
    </row>
    <row r="72" spans="1:12" s="4" customFormat="1" ht="30">
      <c r="A72" s="22" t="s">
        <v>837</v>
      </c>
      <c r="B72" s="99" t="s">
        <v>147</v>
      </c>
      <c r="C72" s="99" t="s">
        <v>135</v>
      </c>
      <c r="D72" s="99" t="s">
        <v>160</v>
      </c>
      <c r="E72" s="99" t="s">
        <v>838</v>
      </c>
      <c r="F72" s="99"/>
      <c r="G72" s="99"/>
      <c r="H72" s="74">
        <f>H73</f>
        <v>4000</v>
      </c>
      <c r="I72" s="74">
        <f>I73</f>
        <v>4000</v>
      </c>
      <c r="J72" s="101">
        <f t="shared" si="0"/>
        <v>0</v>
      </c>
      <c r="K72" s="74">
        <f>K73</f>
        <v>4000</v>
      </c>
      <c r="L72" s="74">
        <f>L73</f>
        <v>4000</v>
      </c>
    </row>
    <row r="73" spans="1:12" s="4" customFormat="1" ht="30">
      <c r="A73" s="111" t="s">
        <v>683</v>
      </c>
      <c r="B73" s="99" t="s">
        <v>147</v>
      </c>
      <c r="C73" s="99" t="s">
        <v>135</v>
      </c>
      <c r="D73" s="99" t="s">
        <v>160</v>
      </c>
      <c r="E73" s="99" t="s">
        <v>838</v>
      </c>
      <c r="F73" s="99" t="s">
        <v>682</v>
      </c>
      <c r="G73" s="99"/>
      <c r="H73" s="74">
        <f>H74</f>
        <v>4000</v>
      </c>
      <c r="I73" s="74">
        <f>I74</f>
        <v>4000</v>
      </c>
      <c r="J73" s="101">
        <f t="shared" si="0"/>
        <v>0</v>
      </c>
      <c r="K73" s="74">
        <f>K74</f>
        <v>4000</v>
      </c>
      <c r="L73" s="74">
        <f>L74</f>
        <v>4000</v>
      </c>
    </row>
    <row r="74" spans="1:12" s="4" customFormat="1" ht="15">
      <c r="A74" s="22" t="s">
        <v>63</v>
      </c>
      <c r="B74" s="99" t="s">
        <v>147</v>
      </c>
      <c r="C74" s="99" t="s">
        <v>135</v>
      </c>
      <c r="D74" s="99" t="s">
        <v>160</v>
      </c>
      <c r="E74" s="99" t="s">
        <v>838</v>
      </c>
      <c r="F74" s="99" t="s">
        <v>682</v>
      </c>
      <c r="G74" s="99" t="s">
        <v>64</v>
      </c>
      <c r="H74" s="74">
        <f>'Пр. 9'!I231</f>
        <v>4000</v>
      </c>
      <c r="I74" s="74">
        <f>'Пр. 9'!J231</f>
        <v>4000</v>
      </c>
      <c r="J74" s="101">
        <f t="shared" si="0"/>
        <v>0</v>
      </c>
      <c r="K74" s="74">
        <f>'Пр. 9'!L231</f>
        <v>4000</v>
      </c>
      <c r="L74" s="74">
        <f>'Пр. 9'!M231</f>
        <v>4000</v>
      </c>
    </row>
    <row r="75" spans="1:12" s="4" customFormat="1" ht="39" customHeight="1">
      <c r="A75" s="111" t="s">
        <v>1109</v>
      </c>
      <c r="B75" s="99" t="s">
        <v>147</v>
      </c>
      <c r="C75" s="99" t="s">
        <v>135</v>
      </c>
      <c r="D75" s="99" t="s">
        <v>160</v>
      </c>
      <c r="E75" s="99" t="s">
        <v>1032</v>
      </c>
      <c r="F75" s="99"/>
      <c r="G75" s="99"/>
      <c r="H75" s="74">
        <f aca="true" t="shared" si="3" ref="H75:L76">H76</f>
        <v>850</v>
      </c>
      <c r="I75" s="74">
        <f t="shared" si="3"/>
        <v>850</v>
      </c>
      <c r="J75" s="101">
        <f t="shared" si="0"/>
        <v>0</v>
      </c>
      <c r="K75" s="74">
        <f t="shared" si="3"/>
        <v>2850</v>
      </c>
      <c r="L75" s="74">
        <f t="shared" si="3"/>
        <v>0</v>
      </c>
    </row>
    <row r="76" spans="1:12" s="4" customFormat="1" ht="31.5" customHeight="1">
      <c r="A76" s="111" t="s">
        <v>683</v>
      </c>
      <c r="B76" s="99" t="s">
        <v>147</v>
      </c>
      <c r="C76" s="99" t="s">
        <v>135</v>
      </c>
      <c r="D76" s="99" t="s">
        <v>160</v>
      </c>
      <c r="E76" s="99" t="s">
        <v>1032</v>
      </c>
      <c r="F76" s="99" t="s">
        <v>682</v>
      </c>
      <c r="G76" s="99"/>
      <c r="H76" s="74">
        <f t="shared" si="3"/>
        <v>850</v>
      </c>
      <c r="I76" s="74">
        <f t="shared" si="3"/>
        <v>850</v>
      </c>
      <c r="J76" s="101">
        <f t="shared" si="0"/>
        <v>0</v>
      </c>
      <c r="K76" s="74">
        <f t="shared" si="3"/>
        <v>2850</v>
      </c>
      <c r="L76" s="74">
        <f t="shared" si="3"/>
        <v>0</v>
      </c>
    </row>
    <row r="77" spans="1:12" s="4" customFormat="1" ht="23.25" customHeight="1">
      <c r="A77" s="22" t="s">
        <v>63</v>
      </c>
      <c r="B77" s="99" t="s">
        <v>147</v>
      </c>
      <c r="C77" s="99" t="s">
        <v>135</v>
      </c>
      <c r="D77" s="99" t="s">
        <v>160</v>
      </c>
      <c r="E77" s="99" t="s">
        <v>1032</v>
      </c>
      <c r="F77" s="99" t="s">
        <v>682</v>
      </c>
      <c r="G77" s="99" t="s">
        <v>64</v>
      </c>
      <c r="H77" s="74">
        <f>'Пр. 9'!I233</f>
        <v>850</v>
      </c>
      <c r="I77" s="74">
        <f>'Пр. 9'!J233</f>
        <v>850</v>
      </c>
      <c r="J77" s="101">
        <f t="shared" si="0"/>
        <v>0</v>
      </c>
      <c r="K77" s="74">
        <f>'Пр. 9'!L233</f>
        <v>2850</v>
      </c>
      <c r="L77" s="74">
        <f>'Пр. 9'!M233</f>
        <v>0</v>
      </c>
    </row>
    <row r="78" spans="1:12" s="4" customFormat="1" ht="32.25" customHeight="1">
      <c r="A78" s="111" t="s">
        <v>969</v>
      </c>
      <c r="B78" s="99" t="s">
        <v>147</v>
      </c>
      <c r="C78" s="99" t="s">
        <v>135</v>
      </c>
      <c r="D78" s="99" t="s">
        <v>160</v>
      </c>
      <c r="E78" s="99" t="s">
        <v>627</v>
      </c>
      <c r="F78" s="99"/>
      <c r="G78" s="99"/>
      <c r="H78" s="74"/>
      <c r="I78" s="74">
        <f>I79</f>
        <v>0</v>
      </c>
      <c r="J78" s="101">
        <f t="shared" si="0"/>
        <v>0</v>
      </c>
      <c r="K78" s="74">
        <f>K79</f>
        <v>22.2</v>
      </c>
      <c r="L78" s="74">
        <f>L79</f>
        <v>22.2</v>
      </c>
    </row>
    <row r="79" spans="1:12" s="4" customFormat="1" ht="32.25" customHeight="1">
      <c r="A79" s="111" t="s">
        <v>683</v>
      </c>
      <c r="B79" s="99" t="s">
        <v>147</v>
      </c>
      <c r="C79" s="99" t="s">
        <v>135</v>
      </c>
      <c r="D79" s="99" t="s">
        <v>160</v>
      </c>
      <c r="E79" s="99" t="s">
        <v>627</v>
      </c>
      <c r="F79" s="99" t="s">
        <v>682</v>
      </c>
      <c r="G79" s="99"/>
      <c r="H79" s="74"/>
      <c r="I79" s="74">
        <f>I80</f>
        <v>0</v>
      </c>
      <c r="J79" s="101">
        <f t="shared" si="0"/>
        <v>0</v>
      </c>
      <c r="K79" s="74">
        <f>K80</f>
        <v>22.2</v>
      </c>
      <c r="L79" s="74">
        <f>L80</f>
        <v>22.2</v>
      </c>
    </row>
    <row r="80" spans="1:12" s="4" customFormat="1" ht="22.5" customHeight="1">
      <c r="A80" s="22" t="s">
        <v>63</v>
      </c>
      <c r="B80" s="99" t="s">
        <v>147</v>
      </c>
      <c r="C80" s="99" t="s">
        <v>135</v>
      </c>
      <c r="D80" s="99" t="s">
        <v>160</v>
      </c>
      <c r="E80" s="99" t="s">
        <v>627</v>
      </c>
      <c r="F80" s="99" t="s">
        <v>682</v>
      </c>
      <c r="G80" s="99" t="s">
        <v>64</v>
      </c>
      <c r="H80" s="74"/>
      <c r="I80" s="74">
        <f>'Пр. 9'!J235</f>
        <v>0</v>
      </c>
      <c r="J80" s="101">
        <f t="shared" si="0"/>
        <v>0</v>
      </c>
      <c r="K80" s="74">
        <f>'Пр. 9'!L235</f>
        <v>22.2</v>
      </c>
      <c r="L80" s="74">
        <f>'Пр. 9'!M235</f>
        <v>22.2</v>
      </c>
    </row>
    <row r="81" spans="1:12" s="3" customFormat="1" ht="42.75">
      <c r="A81" s="110" t="s">
        <v>159</v>
      </c>
      <c r="B81" s="67" t="s">
        <v>160</v>
      </c>
      <c r="C81" s="67" t="s">
        <v>148</v>
      </c>
      <c r="D81" s="67" t="s">
        <v>149</v>
      </c>
      <c r="E81" s="67" t="s">
        <v>150</v>
      </c>
      <c r="F81" s="67"/>
      <c r="G81" s="95"/>
      <c r="H81" s="36">
        <f>H82</f>
        <v>36152.9</v>
      </c>
      <c r="I81" s="36">
        <f>I82</f>
        <v>36152.9</v>
      </c>
      <c r="J81" s="96">
        <f aca="true" t="shared" si="4" ref="J81:J144">I81-H81</f>
        <v>0</v>
      </c>
      <c r="K81" s="36">
        <f>K82</f>
        <v>33514.6</v>
      </c>
      <c r="L81" s="36">
        <f>L82</f>
        <v>32879.7</v>
      </c>
    </row>
    <row r="82" spans="1:12" s="11" customFormat="1" ht="28.5">
      <c r="A82" s="110" t="s">
        <v>755</v>
      </c>
      <c r="B82" s="67" t="s">
        <v>160</v>
      </c>
      <c r="C82" s="67" t="s">
        <v>148</v>
      </c>
      <c r="D82" s="67" t="s">
        <v>160</v>
      </c>
      <c r="E82" s="67" t="s">
        <v>150</v>
      </c>
      <c r="F82" s="67"/>
      <c r="G82" s="95"/>
      <c r="H82" s="36">
        <f>H83+H86+H89+H94+H99+H104+H109+H112+H115</f>
        <v>36152.9</v>
      </c>
      <c r="I82" s="36">
        <f>I83+I86+I89+I94+I99+I104+I109+I112+I115</f>
        <v>36152.9</v>
      </c>
      <c r="J82" s="96">
        <f t="shared" si="4"/>
        <v>0</v>
      </c>
      <c r="K82" s="36">
        <f>K83+K86+K89+K94+K99+K104+K109+K112+K115</f>
        <v>33514.6</v>
      </c>
      <c r="L82" s="36">
        <f>L83+L86+L89+L94+L99+L104+L109+L112+L115</f>
        <v>32879.7</v>
      </c>
    </row>
    <row r="83" spans="1:12" s="4" customFormat="1" ht="90" hidden="1">
      <c r="A83" s="103" t="s">
        <v>968</v>
      </c>
      <c r="B83" s="99" t="s">
        <v>160</v>
      </c>
      <c r="C83" s="99" t="s">
        <v>148</v>
      </c>
      <c r="D83" s="99" t="s">
        <v>160</v>
      </c>
      <c r="E83" s="99" t="s">
        <v>161</v>
      </c>
      <c r="F83" s="99"/>
      <c r="G83" s="100"/>
      <c r="H83" s="74">
        <f>H84</f>
        <v>0</v>
      </c>
      <c r="I83" s="74">
        <f>I84</f>
        <v>0</v>
      </c>
      <c r="J83" s="96">
        <f t="shared" si="4"/>
        <v>0</v>
      </c>
      <c r="K83" s="74">
        <f>K84</f>
        <v>0</v>
      </c>
      <c r="L83" s="74">
        <f>L84</f>
        <v>0</v>
      </c>
    </row>
    <row r="84" spans="1:12" s="4" customFormat="1" ht="15" hidden="1">
      <c r="A84" s="103" t="s">
        <v>687</v>
      </c>
      <c r="B84" s="99" t="s">
        <v>160</v>
      </c>
      <c r="C84" s="99" t="s">
        <v>148</v>
      </c>
      <c r="D84" s="99" t="s">
        <v>160</v>
      </c>
      <c r="E84" s="99" t="s">
        <v>161</v>
      </c>
      <c r="F84" s="99" t="s">
        <v>686</v>
      </c>
      <c r="G84" s="100"/>
      <c r="H84" s="74">
        <f>H85</f>
        <v>0</v>
      </c>
      <c r="I84" s="74">
        <f>I85</f>
        <v>0</v>
      </c>
      <c r="J84" s="96">
        <f t="shared" si="4"/>
        <v>0</v>
      </c>
      <c r="K84" s="74">
        <f>K85</f>
        <v>0</v>
      </c>
      <c r="L84" s="74">
        <f>L85</f>
        <v>0</v>
      </c>
    </row>
    <row r="85" spans="1:12" s="4" customFormat="1" ht="15" hidden="1">
      <c r="A85" s="103" t="s">
        <v>107</v>
      </c>
      <c r="B85" s="99" t="s">
        <v>160</v>
      </c>
      <c r="C85" s="99" t="s">
        <v>148</v>
      </c>
      <c r="D85" s="99" t="s">
        <v>160</v>
      </c>
      <c r="E85" s="99" t="s">
        <v>161</v>
      </c>
      <c r="F85" s="99" t="s">
        <v>686</v>
      </c>
      <c r="G85" s="100" t="s">
        <v>108</v>
      </c>
      <c r="H85" s="74">
        <f>'Пр. 9'!I498</f>
        <v>0</v>
      </c>
      <c r="I85" s="74">
        <f>'Пр. 9'!J498</f>
        <v>0</v>
      </c>
      <c r="J85" s="96">
        <f t="shared" si="4"/>
        <v>0</v>
      </c>
      <c r="K85" s="74">
        <f>'Пр. 9'!L498</f>
        <v>0</v>
      </c>
      <c r="L85" s="74">
        <f>'Пр. 9'!M498</f>
        <v>0</v>
      </c>
    </row>
    <row r="86" spans="1:12" s="4" customFormat="1" ht="90" hidden="1">
      <c r="A86" s="103" t="s">
        <v>162</v>
      </c>
      <c r="B86" s="99" t="s">
        <v>160</v>
      </c>
      <c r="C86" s="99" t="s">
        <v>148</v>
      </c>
      <c r="D86" s="99" t="s">
        <v>160</v>
      </c>
      <c r="E86" s="99" t="s">
        <v>163</v>
      </c>
      <c r="F86" s="99"/>
      <c r="G86" s="100"/>
      <c r="H86" s="74">
        <f>H87</f>
        <v>0</v>
      </c>
      <c r="I86" s="74">
        <f>I87</f>
        <v>0</v>
      </c>
      <c r="J86" s="96">
        <f t="shared" si="4"/>
        <v>0</v>
      </c>
      <c r="K86" s="119">
        <f>K87</f>
        <v>0</v>
      </c>
      <c r="L86" s="119">
        <f>L87</f>
        <v>0</v>
      </c>
    </row>
    <row r="87" spans="1:12" s="4" customFormat="1" ht="15" hidden="1">
      <c r="A87" s="103" t="s">
        <v>687</v>
      </c>
      <c r="B87" s="99" t="s">
        <v>160</v>
      </c>
      <c r="C87" s="99" t="s">
        <v>148</v>
      </c>
      <c r="D87" s="99" t="s">
        <v>160</v>
      </c>
      <c r="E87" s="99" t="s">
        <v>163</v>
      </c>
      <c r="F87" s="99" t="s">
        <v>686</v>
      </c>
      <c r="G87" s="100"/>
      <c r="H87" s="74">
        <f>H88</f>
        <v>0</v>
      </c>
      <c r="I87" s="74">
        <f>I88</f>
        <v>0</v>
      </c>
      <c r="J87" s="96">
        <f t="shared" si="4"/>
        <v>0</v>
      </c>
      <c r="K87" s="119">
        <f>K88</f>
        <v>0</v>
      </c>
      <c r="L87" s="119">
        <f>L88</f>
        <v>0</v>
      </c>
    </row>
    <row r="88" spans="1:12" s="4" customFormat="1" ht="15" hidden="1">
      <c r="A88" s="103" t="s">
        <v>107</v>
      </c>
      <c r="B88" s="99" t="s">
        <v>160</v>
      </c>
      <c r="C88" s="99" t="s">
        <v>148</v>
      </c>
      <c r="D88" s="99" t="s">
        <v>160</v>
      </c>
      <c r="E88" s="99" t="s">
        <v>163</v>
      </c>
      <c r="F88" s="99" t="s">
        <v>686</v>
      </c>
      <c r="G88" s="100" t="s">
        <v>108</v>
      </c>
      <c r="H88" s="74">
        <f>'Пр. 9'!I500</f>
        <v>0</v>
      </c>
      <c r="I88" s="74">
        <f>'Пр. 9'!J500</f>
        <v>0</v>
      </c>
      <c r="J88" s="96">
        <f t="shared" si="4"/>
        <v>0</v>
      </c>
      <c r="K88" s="74">
        <f>'Пр. 9'!L500</f>
        <v>0</v>
      </c>
      <c r="L88" s="74">
        <f>'Пр. 9'!M500</f>
        <v>0</v>
      </c>
    </row>
    <row r="89" spans="1:12" s="5" customFormat="1" ht="45" hidden="1">
      <c r="A89" s="103" t="s">
        <v>813</v>
      </c>
      <c r="B89" s="99" t="s">
        <v>160</v>
      </c>
      <c r="C89" s="99" t="s">
        <v>148</v>
      </c>
      <c r="D89" s="99" t="s">
        <v>160</v>
      </c>
      <c r="E89" s="99" t="s">
        <v>164</v>
      </c>
      <c r="F89" s="99"/>
      <c r="G89" s="100"/>
      <c r="H89" s="74">
        <f>H90+H92</f>
        <v>0</v>
      </c>
      <c r="I89" s="74">
        <f>I90+I92</f>
        <v>0</v>
      </c>
      <c r="J89" s="96">
        <f t="shared" si="4"/>
        <v>0</v>
      </c>
      <c r="K89" s="74">
        <f>K90+K92</f>
        <v>0</v>
      </c>
      <c r="L89" s="74">
        <f>L90+L92</f>
        <v>0</v>
      </c>
    </row>
    <row r="90" spans="1:12" s="5" customFormat="1" ht="15" hidden="1">
      <c r="A90" s="103" t="s">
        <v>687</v>
      </c>
      <c r="B90" s="99" t="s">
        <v>160</v>
      </c>
      <c r="C90" s="99" t="s">
        <v>148</v>
      </c>
      <c r="D90" s="99" t="s">
        <v>160</v>
      </c>
      <c r="E90" s="99" t="s">
        <v>164</v>
      </c>
      <c r="F90" s="99" t="s">
        <v>686</v>
      </c>
      <c r="G90" s="100"/>
      <c r="H90" s="74">
        <f>H91</f>
        <v>0</v>
      </c>
      <c r="I90" s="74">
        <f>I91</f>
        <v>0</v>
      </c>
      <c r="J90" s="96">
        <f t="shared" si="4"/>
        <v>0</v>
      </c>
      <c r="K90" s="119">
        <f>K91</f>
        <v>0</v>
      </c>
      <c r="L90" s="119">
        <f>L91</f>
        <v>0</v>
      </c>
    </row>
    <row r="91" spans="1:12" s="5" customFormat="1" ht="15" hidden="1">
      <c r="A91" s="22" t="s">
        <v>107</v>
      </c>
      <c r="B91" s="99" t="s">
        <v>160</v>
      </c>
      <c r="C91" s="99" t="s">
        <v>148</v>
      </c>
      <c r="D91" s="99" t="s">
        <v>160</v>
      </c>
      <c r="E91" s="99" t="s">
        <v>164</v>
      </c>
      <c r="F91" s="99" t="s">
        <v>686</v>
      </c>
      <c r="G91" s="100" t="s">
        <v>108</v>
      </c>
      <c r="H91" s="74">
        <f>'Пр. 9'!I502</f>
        <v>0</v>
      </c>
      <c r="I91" s="74">
        <f>'Пр. 9'!J502</f>
        <v>0</v>
      </c>
      <c r="J91" s="96">
        <f t="shared" si="4"/>
        <v>0</v>
      </c>
      <c r="K91" s="74">
        <f>'Пр. 9'!L502</f>
        <v>0</v>
      </c>
      <c r="L91" s="74">
        <f>'Пр. 9'!M502</f>
        <v>0</v>
      </c>
    </row>
    <row r="92" spans="1:12" s="5" customFormat="1" ht="30" hidden="1">
      <c r="A92" s="103" t="s">
        <v>696</v>
      </c>
      <c r="B92" s="99" t="s">
        <v>160</v>
      </c>
      <c r="C92" s="99" t="s">
        <v>148</v>
      </c>
      <c r="D92" s="99" t="s">
        <v>160</v>
      </c>
      <c r="E92" s="99" t="s">
        <v>164</v>
      </c>
      <c r="F92" s="99" t="s">
        <v>693</v>
      </c>
      <c r="G92" s="100"/>
      <c r="H92" s="74">
        <f>H93</f>
        <v>0</v>
      </c>
      <c r="I92" s="74">
        <f>I93</f>
        <v>0</v>
      </c>
      <c r="J92" s="96">
        <f t="shared" si="4"/>
        <v>0</v>
      </c>
      <c r="K92" s="119">
        <f>K93</f>
        <v>0</v>
      </c>
      <c r="L92" s="119">
        <f>L93</f>
        <v>0</v>
      </c>
    </row>
    <row r="93" spans="1:12" s="5" customFormat="1" ht="15" hidden="1">
      <c r="A93" s="22" t="s">
        <v>107</v>
      </c>
      <c r="B93" s="99" t="s">
        <v>160</v>
      </c>
      <c r="C93" s="99" t="s">
        <v>148</v>
      </c>
      <c r="D93" s="99" t="s">
        <v>160</v>
      </c>
      <c r="E93" s="99" t="s">
        <v>164</v>
      </c>
      <c r="F93" s="99" t="s">
        <v>693</v>
      </c>
      <c r="G93" s="100" t="s">
        <v>108</v>
      </c>
      <c r="H93" s="74">
        <f>'Пр. 9'!I503</f>
        <v>0</v>
      </c>
      <c r="I93" s="74">
        <f>'Пр. 9'!J503</f>
        <v>0</v>
      </c>
      <c r="J93" s="96">
        <f t="shared" si="4"/>
        <v>0</v>
      </c>
      <c r="K93" s="74">
        <f>'Пр. 9'!L503</f>
        <v>0</v>
      </c>
      <c r="L93" s="74">
        <f>'Пр. 9'!M503</f>
        <v>0</v>
      </c>
    </row>
    <row r="94" spans="1:12" s="5" customFormat="1" ht="60">
      <c r="A94" s="112" t="s">
        <v>727</v>
      </c>
      <c r="B94" s="99" t="s">
        <v>160</v>
      </c>
      <c r="C94" s="99" t="s">
        <v>148</v>
      </c>
      <c r="D94" s="99" t="s">
        <v>160</v>
      </c>
      <c r="E94" s="99" t="s">
        <v>728</v>
      </c>
      <c r="F94" s="99"/>
      <c r="G94" s="100"/>
      <c r="H94" s="74">
        <f>H95+H97</f>
        <v>4550</v>
      </c>
      <c r="I94" s="74">
        <f>I95+I97</f>
        <v>4550</v>
      </c>
      <c r="J94" s="101">
        <f t="shared" si="4"/>
        <v>0</v>
      </c>
      <c r="K94" s="74">
        <f>K95+K97</f>
        <v>2650</v>
      </c>
      <c r="L94" s="74">
        <f>L95+L97</f>
        <v>2015.1</v>
      </c>
    </row>
    <row r="95" spans="1:12" s="5" customFormat="1" ht="15" hidden="1">
      <c r="A95" s="112" t="s">
        <v>687</v>
      </c>
      <c r="B95" s="99" t="s">
        <v>160</v>
      </c>
      <c r="C95" s="99" t="s">
        <v>148</v>
      </c>
      <c r="D95" s="99" t="s">
        <v>160</v>
      </c>
      <c r="E95" s="99" t="s">
        <v>728</v>
      </c>
      <c r="F95" s="99" t="s">
        <v>686</v>
      </c>
      <c r="G95" s="100"/>
      <c r="H95" s="74">
        <f>H96</f>
        <v>0</v>
      </c>
      <c r="I95" s="74">
        <f>I96</f>
        <v>0</v>
      </c>
      <c r="J95" s="101">
        <f t="shared" si="4"/>
        <v>0</v>
      </c>
      <c r="K95" s="74">
        <f>K96</f>
        <v>0</v>
      </c>
      <c r="L95" s="74">
        <f>L96</f>
        <v>0</v>
      </c>
    </row>
    <row r="96" spans="1:12" s="5" customFormat="1" ht="15" hidden="1">
      <c r="A96" s="22" t="s">
        <v>107</v>
      </c>
      <c r="B96" s="99" t="s">
        <v>160</v>
      </c>
      <c r="C96" s="99" t="s">
        <v>148</v>
      </c>
      <c r="D96" s="99" t="s">
        <v>160</v>
      </c>
      <c r="E96" s="99" t="s">
        <v>728</v>
      </c>
      <c r="F96" s="99" t="s">
        <v>686</v>
      </c>
      <c r="G96" s="100" t="s">
        <v>108</v>
      </c>
      <c r="H96" s="74">
        <f>'Пр. 9'!I505</f>
        <v>0</v>
      </c>
      <c r="I96" s="74">
        <f>'Пр. 9'!J505</f>
        <v>0</v>
      </c>
      <c r="J96" s="101">
        <f t="shared" si="4"/>
        <v>0</v>
      </c>
      <c r="K96" s="74">
        <f>'Пр. 9'!L505</f>
        <v>0</v>
      </c>
      <c r="L96" s="74">
        <f>'Пр. 9'!M505</f>
        <v>0</v>
      </c>
    </row>
    <row r="97" spans="1:12" s="5" customFormat="1" ht="32.25" customHeight="1">
      <c r="A97" s="80" t="s">
        <v>694</v>
      </c>
      <c r="B97" s="99" t="s">
        <v>160</v>
      </c>
      <c r="C97" s="99" t="s">
        <v>148</v>
      </c>
      <c r="D97" s="99" t="s">
        <v>160</v>
      </c>
      <c r="E97" s="99" t="s">
        <v>728</v>
      </c>
      <c r="F97" s="99" t="s">
        <v>693</v>
      </c>
      <c r="G97" s="100"/>
      <c r="H97" s="74">
        <f>H98</f>
        <v>4550</v>
      </c>
      <c r="I97" s="74">
        <f>I98</f>
        <v>4550</v>
      </c>
      <c r="J97" s="101">
        <f t="shared" si="4"/>
        <v>0</v>
      </c>
      <c r="K97" s="74">
        <f>K98</f>
        <v>2650</v>
      </c>
      <c r="L97" s="74">
        <f>L98</f>
        <v>2015.1</v>
      </c>
    </row>
    <row r="98" spans="1:12" s="5" customFormat="1" ht="15">
      <c r="A98" s="22" t="s">
        <v>107</v>
      </c>
      <c r="B98" s="99" t="s">
        <v>160</v>
      </c>
      <c r="C98" s="99" t="s">
        <v>148</v>
      </c>
      <c r="D98" s="99" t="s">
        <v>160</v>
      </c>
      <c r="E98" s="99" t="s">
        <v>728</v>
      </c>
      <c r="F98" s="99" t="s">
        <v>693</v>
      </c>
      <c r="G98" s="100" t="s">
        <v>108</v>
      </c>
      <c r="H98" s="74">
        <f>'Пр. 9'!I506</f>
        <v>4550</v>
      </c>
      <c r="I98" s="74">
        <f>'Пр. 9'!J506</f>
        <v>4550</v>
      </c>
      <c r="J98" s="101">
        <f t="shared" si="4"/>
        <v>0</v>
      </c>
      <c r="K98" s="74">
        <f>'Пр. 9'!L506</f>
        <v>2650</v>
      </c>
      <c r="L98" s="74">
        <f>'Пр. 9'!M506</f>
        <v>2015.1</v>
      </c>
    </row>
    <row r="99" spans="1:12" s="5" customFormat="1" ht="45" hidden="1">
      <c r="A99" s="113" t="s">
        <v>830</v>
      </c>
      <c r="B99" s="99" t="s">
        <v>160</v>
      </c>
      <c r="C99" s="99" t="s">
        <v>148</v>
      </c>
      <c r="D99" s="99" t="s">
        <v>160</v>
      </c>
      <c r="E99" s="99" t="s">
        <v>165</v>
      </c>
      <c r="F99" s="99"/>
      <c r="G99" s="100"/>
      <c r="H99" s="74">
        <f>H100+H102</f>
        <v>0</v>
      </c>
      <c r="I99" s="74">
        <f>I100+I102</f>
        <v>0</v>
      </c>
      <c r="J99" s="101">
        <f t="shared" si="4"/>
        <v>0</v>
      </c>
      <c r="K99" s="119">
        <f>K100</f>
        <v>0</v>
      </c>
      <c r="L99" s="119">
        <f>L100</f>
        <v>0</v>
      </c>
    </row>
    <row r="100" spans="1:12" s="5" customFormat="1" ht="15" hidden="1">
      <c r="A100" s="103" t="s">
        <v>687</v>
      </c>
      <c r="B100" s="99" t="s">
        <v>160</v>
      </c>
      <c r="C100" s="99" t="s">
        <v>148</v>
      </c>
      <c r="D100" s="99" t="s">
        <v>160</v>
      </c>
      <c r="E100" s="99" t="s">
        <v>165</v>
      </c>
      <c r="F100" s="99" t="s">
        <v>686</v>
      </c>
      <c r="G100" s="100"/>
      <c r="H100" s="74">
        <f>H101</f>
        <v>0</v>
      </c>
      <c r="I100" s="74">
        <f>I101</f>
        <v>0</v>
      </c>
      <c r="J100" s="101">
        <f t="shared" si="4"/>
        <v>0</v>
      </c>
      <c r="K100" s="119">
        <f>K101</f>
        <v>0</v>
      </c>
      <c r="L100" s="119">
        <f>L101</f>
        <v>0</v>
      </c>
    </row>
    <row r="101" spans="1:12" s="5" customFormat="1" ht="15" hidden="1">
      <c r="A101" s="22" t="s">
        <v>107</v>
      </c>
      <c r="B101" s="99" t="s">
        <v>160</v>
      </c>
      <c r="C101" s="99" t="s">
        <v>148</v>
      </c>
      <c r="D101" s="99" t="s">
        <v>160</v>
      </c>
      <c r="E101" s="99" t="s">
        <v>165</v>
      </c>
      <c r="F101" s="99" t="s">
        <v>686</v>
      </c>
      <c r="G101" s="100" t="s">
        <v>108</v>
      </c>
      <c r="H101" s="74">
        <f>'Пр. 9'!I508</f>
        <v>0</v>
      </c>
      <c r="I101" s="74">
        <f>'Пр. 9'!J508</f>
        <v>0</v>
      </c>
      <c r="J101" s="101">
        <f t="shared" si="4"/>
        <v>0</v>
      </c>
      <c r="K101" s="74">
        <f>'Пр. 9'!L508</f>
        <v>0</v>
      </c>
      <c r="L101" s="74">
        <f>'Пр. 9'!M508</f>
        <v>0</v>
      </c>
    </row>
    <row r="102" spans="1:12" s="5" customFormat="1" ht="30" hidden="1">
      <c r="A102" s="103" t="s">
        <v>696</v>
      </c>
      <c r="B102" s="99" t="s">
        <v>160</v>
      </c>
      <c r="C102" s="99" t="s">
        <v>148</v>
      </c>
      <c r="D102" s="99" t="s">
        <v>160</v>
      </c>
      <c r="E102" s="99" t="s">
        <v>165</v>
      </c>
      <c r="F102" s="99" t="s">
        <v>693</v>
      </c>
      <c r="G102" s="100"/>
      <c r="H102" s="74">
        <f>H103</f>
        <v>0</v>
      </c>
      <c r="I102" s="74">
        <f>I103</f>
        <v>0</v>
      </c>
      <c r="J102" s="101">
        <f t="shared" si="4"/>
        <v>0</v>
      </c>
      <c r="K102" s="119">
        <f>K103</f>
        <v>0</v>
      </c>
      <c r="L102" s="119">
        <f>L103</f>
        <v>0</v>
      </c>
    </row>
    <row r="103" spans="1:12" s="5" customFormat="1" ht="15" hidden="1">
      <c r="A103" s="22" t="s">
        <v>107</v>
      </c>
      <c r="B103" s="99" t="s">
        <v>160</v>
      </c>
      <c r="C103" s="99" t="s">
        <v>148</v>
      </c>
      <c r="D103" s="99" t="s">
        <v>160</v>
      </c>
      <c r="E103" s="99" t="s">
        <v>165</v>
      </c>
      <c r="F103" s="99" t="s">
        <v>693</v>
      </c>
      <c r="G103" s="100" t="s">
        <v>108</v>
      </c>
      <c r="H103" s="74">
        <f>'Пр. 9'!I509</f>
        <v>0</v>
      </c>
      <c r="I103" s="74">
        <f>'Пр. 9'!J509</f>
        <v>0</v>
      </c>
      <c r="J103" s="101">
        <f t="shared" si="4"/>
        <v>0</v>
      </c>
      <c r="K103" s="74">
        <f>'Пр. 9'!L509</f>
        <v>0</v>
      </c>
      <c r="L103" s="74">
        <f>'Пр. 9'!M509</f>
        <v>0</v>
      </c>
    </row>
    <row r="104" spans="1:12" s="4" customFormat="1" ht="15">
      <c r="A104" s="103" t="s">
        <v>166</v>
      </c>
      <c r="B104" s="99" t="s">
        <v>160</v>
      </c>
      <c r="C104" s="99" t="s">
        <v>148</v>
      </c>
      <c r="D104" s="99" t="s">
        <v>160</v>
      </c>
      <c r="E104" s="99" t="s">
        <v>167</v>
      </c>
      <c r="F104" s="99"/>
      <c r="G104" s="100"/>
      <c r="H104" s="74">
        <f>H105+H107</f>
        <v>479.7</v>
      </c>
      <c r="I104" s="74">
        <f>I105+I107</f>
        <v>479.7</v>
      </c>
      <c r="J104" s="101">
        <f t="shared" si="4"/>
        <v>0</v>
      </c>
      <c r="K104" s="74">
        <f>K105+K107</f>
        <v>720.6</v>
      </c>
      <c r="L104" s="74">
        <f>L105+L107</f>
        <v>720.6</v>
      </c>
    </row>
    <row r="105" spans="1:12" s="4" customFormat="1" ht="60">
      <c r="A105" s="22" t="s">
        <v>680</v>
      </c>
      <c r="B105" s="99" t="s">
        <v>160</v>
      </c>
      <c r="C105" s="99" t="s">
        <v>148</v>
      </c>
      <c r="D105" s="99" t="s">
        <v>160</v>
      </c>
      <c r="E105" s="99" t="s">
        <v>167</v>
      </c>
      <c r="F105" s="99" t="s">
        <v>681</v>
      </c>
      <c r="G105" s="100"/>
      <c r="H105" s="74">
        <f>H106</f>
        <v>472.3</v>
      </c>
      <c r="I105" s="74">
        <f>I106</f>
        <v>472.3</v>
      </c>
      <c r="J105" s="101">
        <f t="shared" si="4"/>
        <v>0</v>
      </c>
      <c r="K105" s="74">
        <f>K106</f>
        <v>699.6</v>
      </c>
      <c r="L105" s="74">
        <f>L106</f>
        <v>699.6</v>
      </c>
    </row>
    <row r="106" spans="1:12" s="4" customFormat="1" ht="45">
      <c r="A106" s="22" t="s">
        <v>168</v>
      </c>
      <c r="B106" s="99" t="s">
        <v>160</v>
      </c>
      <c r="C106" s="99" t="s">
        <v>148</v>
      </c>
      <c r="D106" s="99" t="s">
        <v>160</v>
      </c>
      <c r="E106" s="99" t="s">
        <v>167</v>
      </c>
      <c r="F106" s="99" t="s">
        <v>681</v>
      </c>
      <c r="G106" s="100" t="s">
        <v>44</v>
      </c>
      <c r="H106" s="74">
        <f>'Пр. 9'!I19</f>
        <v>472.3</v>
      </c>
      <c r="I106" s="74">
        <f>'Пр. 9'!J19</f>
        <v>472.3</v>
      </c>
      <c r="J106" s="101">
        <f t="shared" si="4"/>
        <v>0</v>
      </c>
      <c r="K106" s="74">
        <f>'Пр. 9'!L19</f>
        <v>699.6</v>
      </c>
      <c r="L106" s="74">
        <f>'Пр. 9'!M19</f>
        <v>699.6</v>
      </c>
    </row>
    <row r="107" spans="1:12" s="4" customFormat="1" ht="30">
      <c r="A107" s="107" t="s">
        <v>683</v>
      </c>
      <c r="B107" s="99" t="s">
        <v>160</v>
      </c>
      <c r="C107" s="99" t="s">
        <v>148</v>
      </c>
      <c r="D107" s="99" t="s">
        <v>160</v>
      </c>
      <c r="E107" s="99" t="s">
        <v>167</v>
      </c>
      <c r="F107" s="99" t="s">
        <v>682</v>
      </c>
      <c r="G107" s="100"/>
      <c r="H107" s="74">
        <f>H108</f>
        <v>7.4</v>
      </c>
      <c r="I107" s="74">
        <f>I108</f>
        <v>7.4</v>
      </c>
      <c r="J107" s="101">
        <f t="shared" si="4"/>
        <v>0</v>
      </c>
      <c r="K107" s="74">
        <f>K108</f>
        <v>21</v>
      </c>
      <c r="L107" s="74">
        <f>L108</f>
        <v>21</v>
      </c>
    </row>
    <row r="108" spans="1:12" s="4" customFormat="1" ht="45">
      <c r="A108" s="22" t="s">
        <v>168</v>
      </c>
      <c r="B108" s="99" t="s">
        <v>160</v>
      </c>
      <c r="C108" s="99" t="s">
        <v>148</v>
      </c>
      <c r="D108" s="99" t="s">
        <v>160</v>
      </c>
      <c r="E108" s="99" t="s">
        <v>167</v>
      </c>
      <c r="F108" s="99" t="s">
        <v>682</v>
      </c>
      <c r="G108" s="100" t="s">
        <v>44</v>
      </c>
      <c r="H108" s="74">
        <f>'Пр. 9'!I20</f>
        <v>7.4</v>
      </c>
      <c r="I108" s="74">
        <f>'Пр. 9'!J20</f>
        <v>7.4</v>
      </c>
      <c r="J108" s="101">
        <f t="shared" si="4"/>
        <v>0</v>
      </c>
      <c r="K108" s="74">
        <f>'Пр. 9'!L20</f>
        <v>21</v>
      </c>
      <c r="L108" s="74">
        <f>'Пр. 9'!M20</f>
        <v>21</v>
      </c>
    </row>
    <row r="109" spans="1:12" s="4" customFormat="1" ht="37.5" customHeight="1">
      <c r="A109" s="102" t="s">
        <v>169</v>
      </c>
      <c r="B109" s="99" t="s">
        <v>160</v>
      </c>
      <c r="C109" s="114">
        <v>0</v>
      </c>
      <c r="D109" s="99" t="s">
        <v>160</v>
      </c>
      <c r="E109" s="99" t="s">
        <v>170</v>
      </c>
      <c r="F109" s="99"/>
      <c r="G109" s="100"/>
      <c r="H109" s="74">
        <f aca="true" t="shared" si="5" ref="H109:L110">H110</f>
        <v>1999</v>
      </c>
      <c r="I109" s="74">
        <f t="shared" si="5"/>
        <v>1999</v>
      </c>
      <c r="J109" s="101">
        <f t="shared" si="4"/>
        <v>0</v>
      </c>
      <c r="K109" s="74">
        <f t="shared" si="5"/>
        <v>1656.1</v>
      </c>
      <c r="L109" s="74">
        <f t="shared" si="5"/>
        <v>1656.1</v>
      </c>
    </row>
    <row r="110" spans="1:12" s="4" customFormat="1" ht="15">
      <c r="A110" s="102" t="s">
        <v>687</v>
      </c>
      <c r="B110" s="99" t="s">
        <v>160</v>
      </c>
      <c r="C110" s="114">
        <v>0</v>
      </c>
      <c r="D110" s="99" t="s">
        <v>160</v>
      </c>
      <c r="E110" s="99" t="s">
        <v>170</v>
      </c>
      <c r="F110" s="99" t="s">
        <v>686</v>
      </c>
      <c r="G110" s="100"/>
      <c r="H110" s="74">
        <f t="shared" si="5"/>
        <v>1999</v>
      </c>
      <c r="I110" s="74">
        <f t="shared" si="5"/>
        <v>1999</v>
      </c>
      <c r="J110" s="101">
        <f t="shared" si="4"/>
        <v>0</v>
      </c>
      <c r="K110" s="74">
        <f t="shared" si="5"/>
        <v>1656.1</v>
      </c>
      <c r="L110" s="74">
        <f t="shared" si="5"/>
        <v>1656.1</v>
      </c>
    </row>
    <row r="111" spans="1:12" s="4" customFormat="1" ht="15">
      <c r="A111" s="22" t="s">
        <v>107</v>
      </c>
      <c r="B111" s="99" t="s">
        <v>160</v>
      </c>
      <c r="C111" s="114">
        <v>0</v>
      </c>
      <c r="D111" s="99" t="s">
        <v>160</v>
      </c>
      <c r="E111" s="99" t="s">
        <v>170</v>
      </c>
      <c r="F111" s="99" t="s">
        <v>686</v>
      </c>
      <c r="G111" s="100" t="s">
        <v>108</v>
      </c>
      <c r="H111" s="74">
        <f>'Пр. 9'!I511</f>
        <v>1999</v>
      </c>
      <c r="I111" s="74">
        <f>'Пр. 9'!J511</f>
        <v>1999</v>
      </c>
      <c r="J111" s="101">
        <f t="shared" si="4"/>
        <v>0</v>
      </c>
      <c r="K111" s="74">
        <f>'Пр. 9'!L511</f>
        <v>1656.1</v>
      </c>
      <c r="L111" s="74">
        <f>'Пр. 9'!M511</f>
        <v>1656.1</v>
      </c>
    </row>
    <row r="112" spans="1:12" s="4" customFormat="1" ht="45">
      <c r="A112" s="107" t="s">
        <v>171</v>
      </c>
      <c r="B112" s="99" t="s">
        <v>160</v>
      </c>
      <c r="C112" s="114">
        <v>0</v>
      </c>
      <c r="D112" s="99" t="s">
        <v>160</v>
      </c>
      <c r="E112" s="99" t="s">
        <v>172</v>
      </c>
      <c r="F112" s="99"/>
      <c r="G112" s="100"/>
      <c r="H112" s="74">
        <f>H113</f>
        <v>1298.5</v>
      </c>
      <c r="I112" s="74">
        <f>I113</f>
        <v>1298.5</v>
      </c>
      <c r="J112" s="101">
        <f t="shared" si="4"/>
        <v>0</v>
      </c>
      <c r="K112" s="74">
        <f>K113</f>
        <v>0</v>
      </c>
      <c r="L112" s="74">
        <f>L113</f>
        <v>0</v>
      </c>
    </row>
    <row r="113" spans="1:12" s="4" customFormat="1" ht="30">
      <c r="A113" s="22" t="s">
        <v>696</v>
      </c>
      <c r="B113" s="99" t="s">
        <v>160</v>
      </c>
      <c r="C113" s="114">
        <v>0</v>
      </c>
      <c r="D113" s="99" t="s">
        <v>160</v>
      </c>
      <c r="E113" s="99" t="s">
        <v>172</v>
      </c>
      <c r="F113" s="99" t="s">
        <v>693</v>
      </c>
      <c r="G113" s="100"/>
      <c r="H113" s="74">
        <f>H114</f>
        <v>1298.5</v>
      </c>
      <c r="I113" s="74">
        <f>I114</f>
        <v>1298.5</v>
      </c>
      <c r="J113" s="101">
        <f t="shared" si="4"/>
        <v>0</v>
      </c>
      <c r="K113" s="74">
        <f>K114</f>
        <v>0</v>
      </c>
      <c r="L113" s="74">
        <f>L114</f>
        <v>0</v>
      </c>
    </row>
    <row r="114" spans="1:12" s="4" customFormat="1" ht="15">
      <c r="A114" s="22" t="s">
        <v>109</v>
      </c>
      <c r="B114" s="99" t="s">
        <v>160</v>
      </c>
      <c r="C114" s="114">
        <v>0</v>
      </c>
      <c r="D114" s="99" t="s">
        <v>160</v>
      </c>
      <c r="E114" s="99" t="s">
        <v>172</v>
      </c>
      <c r="F114" s="99" t="s">
        <v>693</v>
      </c>
      <c r="G114" s="100" t="s">
        <v>110</v>
      </c>
      <c r="H114" s="74">
        <f>'Пр. 9'!I543</f>
        <v>1298.5</v>
      </c>
      <c r="I114" s="74">
        <f>'Пр. 9'!J543</f>
        <v>1298.5</v>
      </c>
      <c r="J114" s="101">
        <f t="shared" si="4"/>
        <v>0</v>
      </c>
      <c r="K114" s="74">
        <f>'Пр. 9'!L543</f>
        <v>0</v>
      </c>
      <c r="L114" s="74">
        <f>'Пр. 9'!M543</f>
        <v>0</v>
      </c>
    </row>
    <row r="115" spans="1:12" s="4" customFormat="1" ht="45">
      <c r="A115" s="115" t="s">
        <v>171</v>
      </c>
      <c r="B115" s="99" t="s">
        <v>160</v>
      </c>
      <c r="C115" s="114">
        <v>0</v>
      </c>
      <c r="D115" s="114">
        <v>2</v>
      </c>
      <c r="E115" s="99" t="s">
        <v>732</v>
      </c>
      <c r="F115" s="99"/>
      <c r="G115" s="100"/>
      <c r="H115" s="74">
        <f>H116</f>
        <v>27825.7</v>
      </c>
      <c r="I115" s="74">
        <f>I116</f>
        <v>27825.7</v>
      </c>
      <c r="J115" s="101">
        <f t="shared" si="4"/>
        <v>0</v>
      </c>
      <c r="K115" s="74">
        <f>K116</f>
        <v>28487.9</v>
      </c>
      <c r="L115" s="74">
        <f>L116</f>
        <v>28487.9</v>
      </c>
    </row>
    <row r="116" spans="1:12" s="4" customFormat="1" ht="34.5" customHeight="1">
      <c r="A116" s="109" t="s">
        <v>694</v>
      </c>
      <c r="B116" s="99" t="s">
        <v>160</v>
      </c>
      <c r="C116" s="114">
        <v>0</v>
      </c>
      <c r="D116" s="114">
        <v>2</v>
      </c>
      <c r="E116" s="99" t="s">
        <v>732</v>
      </c>
      <c r="F116" s="99" t="s">
        <v>693</v>
      </c>
      <c r="G116" s="100"/>
      <c r="H116" s="74">
        <f>H117</f>
        <v>27825.7</v>
      </c>
      <c r="I116" s="74">
        <f>I117</f>
        <v>27825.7</v>
      </c>
      <c r="J116" s="101">
        <f t="shared" si="4"/>
        <v>0</v>
      </c>
      <c r="K116" s="74">
        <f>K117</f>
        <v>28487.9</v>
      </c>
      <c r="L116" s="74">
        <f>L117</f>
        <v>28487.9</v>
      </c>
    </row>
    <row r="117" spans="1:12" s="4" customFormat="1" ht="15">
      <c r="A117" s="22" t="s">
        <v>109</v>
      </c>
      <c r="B117" s="99" t="s">
        <v>160</v>
      </c>
      <c r="C117" s="114">
        <v>0</v>
      </c>
      <c r="D117" s="114">
        <v>2</v>
      </c>
      <c r="E117" s="99" t="s">
        <v>732</v>
      </c>
      <c r="F117" s="99" t="s">
        <v>693</v>
      </c>
      <c r="G117" s="100" t="s">
        <v>110</v>
      </c>
      <c r="H117" s="74">
        <f>'Пр. 9'!I545</f>
        <v>27825.7</v>
      </c>
      <c r="I117" s="74">
        <f>'Пр. 9'!J545</f>
        <v>27825.7</v>
      </c>
      <c r="J117" s="101">
        <f t="shared" si="4"/>
        <v>0</v>
      </c>
      <c r="K117" s="74">
        <f>'Пр. 9'!L545</f>
        <v>28487.9</v>
      </c>
      <c r="L117" s="74">
        <f>'Пр. 9'!M545</f>
        <v>28487.9</v>
      </c>
    </row>
    <row r="118" spans="1:12" s="5" customFormat="1" ht="57.75" customHeight="1">
      <c r="A118" s="110" t="s">
        <v>173</v>
      </c>
      <c r="B118" s="67" t="s">
        <v>174</v>
      </c>
      <c r="C118" s="67" t="s">
        <v>148</v>
      </c>
      <c r="D118" s="67" t="s">
        <v>149</v>
      </c>
      <c r="E118" s="67" t="s">
        <v>150</v>
      </c>
      <c r="F118" s="67"/>
      <c r="G118" s="95"/>
      <c r="H118" s="36">
        <f>H119+H130+H135</f>
        <v>207022</v>
      </c>
      <c r="I118" s="36">
        <f>I119+I130+I135</f>
        <v>207022</v>
      </c>
      <c r="J118" s="96">
        <f t="shared" si="4"/>
        <v>0</v>
      </c>
      <c r="K118" s="36">
        <f>K119+K130+K135</f>
        <v>212839.1</v>
      </c>
      <c r="L118" s="36">
        <f>L119+L130+L135</f>
        <v>218811.9</v>
      </c>
    </row>
    <row r="119" spans="1:12" s="5" customFormat="1" ht="59.25" customHeight="1">
      <c r="A119" s="97" t="s">
        <v>175</v>
      </c>
      <c r="B119" s="67" t="s">
        <v>174</v>
      </c>
      <c r="C119" s="67" t="s">
        <v>131</v>
      </c>
      <c r="D119" s="67" t="s">
        <v>149</v>
      </c>
      <c r="E119" s="67" t="s">
        <v>150</v>
      </c>
      <c r="F119" s="67"/>
      <c r="G119" s="95"/>
      <c r="H119" s="36">
        <f>H120</f>
        <v>206644.5</v>
      </c>
      <c r="I119" s="36">
        <f>I120</f>
        <v>206644.5</v>
      </c>
      <c r="J119" s="96">
        <f t="shared" si="4"/>
        <v>0</v>
      </c>
      <c r="K119" s="36">
        <f>K120</f>
        <v>212451.6</v>
      </c>
      <c r="L119" s="36">
        <f>L120</f>
        <v>218414.4</v>
      </c>
    </row>
    <row r="120" spans="1:12" s="5" customFormat="1" ht="43.5" customHeight="1">
      <c r="A120" s="116" t="s">
        <v>176</v>
      </c>
      <c r="B120" s="67" t="s">
        <v>174</v>
      </c>
      <c r="C120" s="67" t="s">
        <v>131</v>
      </c>
      <c r="D120" s="67" t="s">
        <v>147</v>
      </c>
      <c r="E120" s="67" t="s">
        <v>150</v>
      </c>
      <c r="F120" s="67"/>
      <c r="G120" s="95"/>
      <c r="H120" s="36">
        <f>H121+H124+H127</f>
        <v>206644.5</v>
      </c>
      <c r="I120" s="36">
        <f>I121+I124+I127</f>
        <v>206644.5</v>
      </c>
      <c r="J120" s="96">
        <f t="shared" si="4"/>
        <v>0</v>
      </c>
      <c r="K120" s="36">
        <f>K121+K124+K127</f>
        <v>212451.6</v>
      </c>
      <c r="L120" s="36">
        <f>L121+L124+L127</f>
        <v>218414.4</v>
      </c>
    </row>
    <row r="121" spans="1:12" s="4" customFormat="1" ht="30">
      <c r="A121" s="102" t="s">
        <v>177</v>
      </c>
      <c r="B121" s="99" t="s">
        <v>174</v>
      </c>
      <c r="C121" s="99" t="s">
        <v>131</v>
      </c>
      <c r="D121" s="99" t="s">
        <v>147</v>
      </c>
      <c r="E121" s="99" t="s">
        <v>178</v>
      </c>
      <c r="F121" s="99"/>
      <c r="G121" s="100"/>
      <c r="H121" s="74">
        <f>H122</f>
        <v>46539.1</v>
      </c>
      <c r="I121" s="74">
        <f>I122</f>
        <v>46539.1</v>
      </c>
      <c r="J121" s="101">
        <f t="shared" si="4"/>
        <v>0</v>
      </c>
      <c r="K121" s="74">
        <f>K122</f>
        <v>46539.1</v>
      </c>
      <c r="L121" s="74">
        <f>L122</f>
        <v>46539.1</v>
      </c>
    </row>
    <row r="122" spans="1:12" s="4" customFormat="1" ht="15">
      <c r="A122" s="102" t="s">
        <v>690</v>
      </c>
      <c r="B122" s="99" t="s">
        <v>174</v>
      </c>
      <c r="C122" s="99" t="s">
        <v>131</v>
      </c>
      <c r="D122" s="99" t="s">
        <v>147</v>
      </c>
      <c r="E122" s="99" t="s">
        <v>178</v>
      </c>
      <c r="F122" s="99" t="s">
        <v>691</v>
      </c>
      <c r="G122" s="100"/>
      <c r="H122" s="74">
        <f>H123</f>
        <v>46539.1</v>
      </c>
      <c r="I122" s="74">
        <f>I123</f>
        <v>46539.1</v>
      </c>
      <c r="J122" s="101">
        <f t="shared" si="4"/>
        <v>0</v>
      </c>
      <c r="K122" s="74">
        <f>K123</f>
        <v>46539.1</v>
      </c>
      <c r="L122" s="74">
        <f>L123</f>
        <v>46539.1</v>
      </c>
    </row>
    <row r="123" spans="1:12" s="4" customFormat="1" ht="30">
      <c r="A123" s="89" t="s">
        <v>125</v>
      </c>
      <c r="B123" s="99" t="s">
        <v>174</v>
      </c>
      <c r="C123" s="99" t="s">
        <v>131</v>
      </c>
      <c r="D123" s="99" t="s">
        <v>147</v>
      </c>
      <c r="E123" s="99" t="s">
        <v>178</v>
      </c>
      <c r="F123" s="99" t="s">
        <v>691</v>
      </c>
      <c r="G123" s="100" t="s">
        <v>126</v>
      </c>
      <c r="H123" s="74">
        <f>'Пр. 9'!I697</f>
        <v>46539.1</v>
      </c>
      <c r="I123" s="74">
        <f>'Пр. 9'!J697</f>
        <v>46539.1</v>
      </c>
      <c r="J123" s="101">
        <f t="shared" si="4"/>
        <v>0</v>
      </c>
      <c r="K123" s="74">
        <f>'Пр. 9'!L697</f>
        <v>46539.1</v>
      </c>
      <c r="L123" s="74">
        <f>'Пр. 9'!M697</f>
        <v>46539.1</v>
      </c>
    </row>
    <row r="124" spans="1:12" s="4" customFormat="1" ht="60">
      <c r="A124" s="102" t="s">
        <v>179</v>
      </c>
      <c r="B124" s="99" t="s">
        <v>174</v>
      </c>
      <c r="C124" s="99" t="s">
        <v>131</v>
      </c>
      <c r="D124" s="99" t="s">
        <v>147</v>
      </c>
      <c r="E124" s="99" t="s">
        <v>180</v>
      </c>
      <c r="F124" s="99"/>
      <c r="G124" s="100"/>
      <c r="H124" s="74">
        <f>H125</f>
        <v>141</v>
      </c>
      <c r="I124" s="74">
        <f>I125</f>
        <v>141</v>
      </c>
      <c r="J124" s="101">
        <f t="shared" si="4"/>
        <v>0</v>
      </c>
      <c r="K124" s="74">
        <f>K125</f>
        <v>141</v>
      </c>
      <c r="L124" s="74">
        <f>L125</f>
        <v>140</v>
      </c>
    </row>
    <row r="125" spans="1:12" s="4" customFormat="1" ht="60">
      <c r="A125" s="102" t="s">
        <v>680</v>
      </c>
      <c r="B125" s="99" t="s">
        <v>174</v>
      </c>
      <c r="C125" s="99" t="s">
        <v>131</v>
      </c>
      <c r="D125" s="99" t="s">
        <v>147</v>
      </c>
      <c r="E125" s="99" t="s">
        <v>180</v>
      </c>
      <c r="F125" s="99" t="s">
        <v>681</v>
      </c>
      <c r="G125" s="100"/>
      <c r="H125" s="74">
        <f>H126</f>
        <v>141</v>
      </c>
      <c r="I125" s="74">
        <f>I126</f>
        <v>141</v>
      </c>
      <c r="J125" s="101">
        <f t="shared" si="4"/>
        <v>0</v>
      </c>
      <c r="K125" s="74">
        <f>K126</f>
        <v>141</v>
      </c>
      <c r="L125" s="74">
        <f>L126</f>
        <v>140</v>
      </c>
    </row>
    <row r="126" spans="1:12" s="4" customFormat="1" ht="30">
      <c r="A126" s="102" t="s">
        <v>47</v>
      </c>
      <c r="B126" s="99" t="s">
        <v>174</v>
      </c>
      <c r="C126" s="99" t="s">
        <v>131</v>
      </c>
      <c r="D126" s="99" t="s">
        <v>147</v>
      </c>
      <c r="E126" s="99" t="s">
        <v>180</v>
      </c>
      <c r="F126" s="99" t="s">
        <v>681</v>
      </c>
      <c r="G126" s="100" t="s">
        <v>48</v>
      </c>
      <c r="H126" s="74">
        <f>'Пр. 9'!I592</f>
        <v>141</v>
      </c>
      <c r="I126" s="74">
        <f>'Пр. 9'!J592</f>
        <v>141</v>
      </c>
      <c r="J126" s="101">
        <f t="shared" si="4"/>
        <v>0</v>
      </c>
      <c r="K126" s="74">
        <f>'Пр. 9'!L592</f>
        <v>141</v>
      </c>
      <c r="L126" s="74">
        <f>'Пр. 9'!M592</f>
        <v>140</v>
      </c>
    </row>
    <row r="127" spans="1:12" s="4" customFormat="1" ht="60">
      <c r="A127" s="102" t="s">
        <v>179</v>
      </c>
      <c r="B127" s="99" t="s">
        <v>174</v>
      </c>
      <c r="C127" s="99" t="s">
        <v>131</v>
      </c>
      <c r="D127" s="99" t="s">
        <v>147</v>
      </c>
      <c r="E127" s="99" t="s">
        <v>180</v>
      </c>
      <c r="F127" s="99"/>
      <c r="G127" s="100"/>
      <c r="H127" s="74">
        <f>H128</f>
        <v>159964.4</v>
      </c>
      <c r="I127" s="74">
        <f>I128</f>
        <v>159964.4</v>
      </c>
      <c r="J127" s="101">
        <f t="shared" si="4"/>
        <v>0</v>
      </c>
      <c r="K127" s="74">
        <f>K128</f>
        <v>165771.5</v>
      </c>
      <c r="L127" s="74">
        <f>L128</f>
        <v>171735.3</v>
      </c>
    </row>
    <row r="128" spans="1:12" s="4" customFormat="1" ht="15">
      <c r="A128" s="102" t="s">
        <v>690</v>
      </c>
      <c r="B128" s="99" t="s">
        <v>174</v>
      </c>
      <c r="C128" s="99" t="s">
        <v>131</v>
      </c>
      <c r="D128" s="99" t="s">
        <v>147</v>
      </c>
      <c r="E128" s="99" t="s">
        <v>180</v>
      </c>
      <c r="F128" s="99" t="s">
        <v>691</v>
      </c>
      <c r="G128" s="100"/>
      <c r="H128" s="74">
        <f>H129</f>
        <v>159964.4</v>
      </c>
      <c r="I128" s="74">
        <f>I129</f>
        <v>159964.4</v>
      </c>
      <c r="J128" s="101">
        <f t="shared" si="4"/>
        <v>0</v>
      </c>
      <c r="K128" s="74">
        <f>K129</f>
        <v>165771.5</v>
      </c>
      <c r="L128" s="74">
        <f>L129</f>
        <v>171735.3</v>
      </c>
    </row>
    <row r="129" spans="1:12" s="4" customFormat="1" ht="30">
      <c r="A129" s="89" t="s">
        <v>125</v>
      </c>
      <c r="B129" s="99" t="s">
        <v>174</v>
      </c>
      <c r="C129" s="99" t="s">
        <v>131</v>
      </c>
      <c r="D129" s="99" t="s">
        <v>147</v>
      </c>
      <c r="E129" s="99" t="s">
        <v>180</v>
      </c>
      <c r="F129" s="99" t="s">
        <v>691</v>
      </c>
      <c r="G129" s="100" t="s">
        <v>126</v>
      </c>
      <c r="H129" s="74">
        <f>'Пр. 9'!I699</f>
        <v>159964.4</v>
      </c>
      <c r="I129" s="74">
        <f>'Пр. 9'!J699</f>
        <v>159964.4</v>
      </c>
      <c r="J129" s="101">
        <f t="shared" si="4"/>
        <v>0</v>
      </c>
      <c r="K129" s="74">
        <f>'Пр. 9'!L699</f>
        <v>165771.5</v>
      </c>
      <c r="L129" s="74">
        <f>'Пр. 9'!M699</f>
        <v>171735.3</v>
      </c>
    </row>
    <row r="130" spans="1:12" s="5" customFormat="1" ht="42.75">
      <c r="A130" s="97" t="s">
        <v>181</v>
      </c>
      <c r="B130" s="67" t="s">
        <v>174</v>
      </c>
      <c r="C130" s="67" t="s">
        <v>132</v>
      </c>
      <c r="D130" s="67" t="s">
        <v>149</v>
      </c>
      <c r="E130" s="67" t="s">
        <v>150</v>
      </c>
      <c r="F130" s="67"/>
      <c r="G130" s="95"/>
      <c r="H130" s="36">
        <f aca="true" t="shared" si="6" ref="H130:L133">H131</f>
        <v>277.5</v>
      </c>
      <c r="I130" s="36">
        <f t="shared" si="6"/>
        <v>277.5</v>
      </c>
      <c r="J130" s="96">
        <f t="shared" si="4"/>
        <v>0</v>
      </c>
      <c r="K130" s="36">
        <f t="shared" si="6"/>
        <v>277.5</v>
      </c>
      <c r="L130" s="36">
        <f t="shared" si="6"/>
        <v>277.5</v>
      </c>
    </row>
    <row r="131" spans="1:12" s="5" customFormat="1" ht="42.75">
      <c r="A131" s="97" t="s">
        <v>182</v>
      </c>
      <c r="B131" s="67" t="s">
        <v>174</v>
      </c>
      <c r="C131" s="67" t="s">
        <v>132</v>
      </c>
      <c r="D131" s="67" t="s">
        <v>147</v>
      </c>
      <c r="E131" s="67" t="s">
        <v>150</v>
      </c>
      <c r="F131" s="67"/>
      <c r="G131" s="95"/>
      <c r="H131" s="36">
        <f t="shared" si="6"/>
        <v>277.5</v>
      </c>
      <c r="I131" s="36">
        <f t="shared" si="6"/>
        <v>277.5</v>
      </c>
      <c r="J131" s="96">
        <f t="shared" si="4"/>
        <v>0</v>
      </c>
      <c r="K131" s="36">
        <f t="shared" si="6"/>
        <v>277.5</v>
      </c>
      <c r="L131" s="36">
        <f t="shared" si="6"/>
        <v>277.5</v>
      </c>
    </row>
    <row r="132" spans="1:12" s="4" customFormat="1" ht="15">
      <c r="A132" s="102" t="s">
        <v>183</v>
      </c>
      <c r="B132" s="99" t="s">
        <v>174</v>
      </c>
      <c r="C132" s="99" t="s">
        <v>132</v>
      </c>
      <c r="D132" s="99" t="s">
        <v>147</v>
      </c>
      <c r="E132" s="100" t="s">
        <v>184</v>
      </c>
      <c r="F132" s="117"/>
      <c r="G132" s="100"/>
      <c r="H132" s="74">
        <f t="shared" si="6"/>
        <v>277.5</v>
      </c>
      <c r="I132" s="74">
        <f t="shared" si="6"/>
        <v>277.5</v>
      </c>
      <c r="J132" s="101">
        <f t="shared" si="4"/>
        <v>0</v>
      </c>
      <c r="K132" s="74">
        <f t="shared" si="6"/>
        <v>277.5</v>
      </c>
      <c r="L132" s="74">
        <f t="shared" si="6"/>
        <v>277.5</v>
      </c>
    </row>
    <row r="133" spans="1:12" s="4" customFormat="1" ht="15">
      <c r="A133" s="102" t="s">
        <v>695</v>
      </c>
      <c r="B133" s="99" t="s">
        <v>174</v>
      </c>
      <c r="C133" s="99" t="s">
        <v>132</v>
      </c>
      <c r="D133" s="99" t="s">
        <v>147</v>
      </c>
      <c r="E133" s="100" t="s">
        <v>184</v>
      </c>
      <c r="F133" s="117">
        <v>700</v>
      </c>
      <c r="G133" s="100"/>
      <c r="H133" s="74">
        <f t="shared" si="6"/>
        <v>277.5</v>
      </c>
      <c r="I133" s="74">
        <f t="shared" si="6"/>
        <v>277.5</v>
      </c>
      <c r="J133" s="101">
        <f t="shared" si="4"/>
        <v>0</v>
      </c>
      <c r="K133" s="74">
        <f t="shared" si="6"/>
        <v>277.5</v>
      </c>
      <c r="L133" s="74">
        <f t="shared" si="6"/>
        <v>277.5</v>
      </c>
    </row>
    <row r="134" spans="1:12" s="4" customFormat="1" ht="30">
      <c r="A134" s="89" t="s">
        <v>185</v>
      </c>
      <c r="B134" s="99" t="s">
        <v>174</v>
      </c>
      <c r="C134" s="99" t="s">
        <v>132</v>
      </c>
      <c r="D134" s="99" t="s">
        <v>147</v>
      </c>
      <c r="E134" s="100" t="s">
        <v>184</v>
      </c>
      <c r="F134" s="117">
        <v>700</v>
      </c>
      <c r="G134" s="100" t="s">
        <v>122</v>
      </c>
      <c r="H134" s="74">
        <f>'Пр. 9'!I690</f>
        <v>277.5</v>
      </c>
      <c r="I134" s="74">
        <f>'Пр. 9'!J690</f>
        <v>277.5</v>
      </c>
      <c r="J134" s="101">
        <f t="shared" si="4"/>
        <v>0</v>
      </c>
      <c r="K134" s="74">
        <f>'Пр. 9'!L690</f>
        <v>277.5</v>
      </c>
      <c r="L134" s="74">
        <f>'Пр. 9'!M690</f>
        <v>277.5</v>
      </c>
    </row>
    <row r="135" spans="1:12" s="5" customFormat="1" ht="28.5">
      <c r="A135" s="118" t="s">
        <v>922</v>
      </c>
      <c r="B135" s="67" t="s">
        <v>174</v>
      </c>
      <c r="C135" s="67" t="s">
        <v>134</v>
      </c>
      <c r="D135" s="67" t="s">
        <v>149</v>
      </c>
      <c r="E135" s="95" t="s">
        <v>150</v>
      </c>
      <c r="F135" s="94"/>
      <c r="G135" s="95"/>
      <c r="H135" s="36">
        <f aca="true" t="shared" si="7" ref="H135:I138">H136</f>
        <v>100</v>
      </c>
      <c r="I135" s="36">
        <f t="shared" si="7"/>
        <v>100</v>
      </c>
      <c r="J135" s="96">
        <f t="shared" si="4"/>
        <v>0</v>
      </c>
      <c r="K135" s="36">
        <f aca="true" t="shared" si="8" ref="K135:L138">K136</f>
        <v>110</v>
      </c>
      <c r="L135" s="36">
        <f t="shared" si="8"/>
        <v>120</v>
      </c>
    </row>
    <row r="136" spans="1:12" s="5" customFormat="1" ht="28.5">
      <c r="A136" s="118" t="s">
        <v>839</v>
      </c>
      <c r="B136" s="67" t="s">
        <v>174</v>
      </c>
      <c r="C136" s="67" t="s">
        <v>134</v>
      </c>
      <c r="D136" s="67" t="s">
        <v>147</v>
      </c>
      <c r="E136" s="95" t="s">
        <v>150</v>
      </c>
      <c r="F136" s="94"/>
      <c r="G136" s="95"/>
      <c r="H136" s="36">
        <f t="shared" si="7"/>
        <v>100</v>
      </c>
      <c r="I136" s="36">
        <f t="shared" si="7"/>
        <v>100</v>
      </c>
      <c r="J136" s="96">
        <f t="shared" si="4"/>
        <v>0</v>
      </c>
      <c r="K136" s="36">
        <f t="shared" si="8"/>
        <v>110</v>
      </c>
      <c r="L136" s="36">
        <f t="shared" si="8"/>
        <v>120</v>
      </c>
    </row>
    <row r="137" spans="1:12" s="4" customFormat="1" ht="30">
      <c r="A137" s="89" t="s">
        <v>840</v>
      </c>
      <c r="B137" s="99" t="s">
        <v>174</v>
      </c>
      <c r="C137" s="99" t="s">
        <v>134</v>
      </c>
      <c r="D137" s="99" t="s">
        <v>147</v>
      </c>
      <c r="E137" s="100" t="s">
        <v>841</v>
      </c>
      <c r="F137" s="117"/>
      <c r="G137" s="100"/>
      <c r="H137" s="74">
        <f t="shared" si="7"/>
        <v>100</v>
      </c>
      <c r="I137" s="74">
        <f t="shared" si="7"/>
        <v>100</v>
      </c>
      <c r="J137" s="101">
        <f t="shared" si="4"/>
        <v>0</v>
      </c>
      <c r="K137" s="74">
        <f t="shared" si="8"/>
        <v>110</v>
      </c>
      <c r="L137" s="74">
        <f t="shared" si="8"/>
        <v>120</v>
      </c>
    </row>
    <row r="138" spans="1:12" s="4" customFormat="1" ht="30">
      <c r="A138" s="107" t="s">
        <v>683</v>
      </c>
      <c r="B138" s="99" t="s">
        <v>174</v>
      </c>
      <c r="C138" s="99" t="s">
        <v>134</v>
      </c>
      <c r="D138" s="99" t="s">
        <v>147</v>
      </c>
      <c r="E138" s="100" t="s">
        <v>841</v>
      </c>
      <c r="F138" s="117">
        <v>200</v>
      </c>
      <c r="G138" s="100"/>
      <c r="H138" s="74">
        <f t="shared" si="7"/>
        <v>100</v>
      </c>
      <c r="I138" s="74">
        <f t="shared" si="7"/>
        <v>100</v>
      </c>
      <c r="J138" s="101">
        <f t="shared" si="4"/>
        <v>0</v>
      </c>
      <c r="K138" s="74">
        <f t="shared" si="8"/>
        <v>110</v>
      </c>
      <c r="L138" s="74">
        <f t="shared" si="8"/>
        <v>120</v>
      </c>
    </row>
    <row r="139" spans="1:12" s="4" customFormat="1" ht="30">
      <c r="A139" s="102" t="s">
        <v>47</v>
      </c>
      <c r="B139" s="99" t="s">
        <v>174</v>
      </c>
      <c r="C139" s="99" t="s">
        <v>134</v>
      </c>
      <c r="D139" s="99" t="s">
        <v>147</v>
      </c>
      <c r="E139" s="100" t="s">
        <v>841</v>
      </c>
      <c r="F139" s="117">
        <v>200</v>
      </c>
      <c r="G139" s="100" t="s">
        <v>48</v>
      </c>
      <c r="H139" s="74">
        <f>'Пр. 9'!I596</f>
        <v>100</v>
      </c>
      <c r="I139" s="74">
        <f>'Пр. 9'!J596</f>
        <v>100</v>
      </c>
      <c r="J139" s="101">
        <f t="shared" si="4"/>
        <v>0</v>
      </c>
      <c r="K139" s="74">
        <f>'Пр. 9'!L596</f>
        <v>110</v>
      </c>
      <c r="L139" s="74">
        <f>'Пр. 9'!M596</f>
        <v>120</v>
      </c>
    </row>
    <row r="140" spans="1:12" s="3" customFormat="1" ht="42.75">
      <c r="A140" s="110" t="s">
        <v>186</v>
      </c>
      <c r="B140" s="67" t="s">
        <v>187</v>
      </c>
      <c r="C140" s="67" t="s">
        <v>148</v>
      </c>
      <c r="D140" s="67" t="s">
        <v>149</v>
      </c>
      <c r="E140" s="67" t="s">
        <v>150</v>
      </c>
      <c r="F140" s="67"/>
      <c r="G140" s="95"/>
      <c r="H140" s="36">
        <f>H141+H186+H205</f>
        <v>100569.60000000002</v>
      </c>
      <c r="I140" s="36">
        <f>I141+I186+I205</f>
        <v>100845.00000000001</v>
      </c>
      <c r="J140" s="96">
        <f t="shared" si="4"/>
        <v>275.3999999999942</v>
      </c>
      <c r="K140" s="36">
        <f>K141+K186+K205</f>
        <v>97231.00000000001</v>
      </c>
      <c r="L140" s="36">
        <f>L141+L186+L205</f>
        <v>98802.6</v>
      </c>
    </row>
    <row r="141" spans="1:12" s="5" customFormat="1" ht="42.75">
      <c r="A141" s="97" t="s">
        <v>188</v>
      </c>
      <c r="B141" s="67" t="s">
        <v>187</v>
      </c>
      <c r="C141" s="67" t="s">
        <v>131</v>
      </c>
      <c r="D141" s="67" t="s">
        <v>149</v>
      </c>
      <c r="E141" s="67" t="s">
        <v>150</v>
      </c>
      <c r="F141" s="67"/>
      <c r="G141" s="95"/>
      <c r="H141" s="36">
        <f>H142</f>
        <v>3049.7999999999997</v>
      </c>
      <c r="I141" s="36">
        <f>I142</f>
        <v>3049.7999999999997</v>
      </c>
      <c r="J141" s="96">
        <f t="shared" si="4"/>
        <v>0</v>
      </c>
      <c r="K141" s="36">
        <f>K142</f>
        <v>4345</v>
      </c>
      <c r="L141" s="36">
        <f>L142</f>
        <v>1473.8</v>
      </c>
    </row>
    <row r="142" spans="1:12" s="5" customFormat="1" ht="42.75">
      <c r="A142" s="97" t="s">
        <v>756</v>
      </c>
      <c r="B142" s="67" t="s">
        <v>187</v>
      </c>
      <c r="C142" s="67" t="s">
        <v>131</v>
      </c>
      <c r="D142" s="67" t="s">
        <v>160</v>
      </c>
      <c r="E142" s="67" t="s">
        <v>150</v>
      </c>
      <c r="F142" s="67"/>
      <c r="G142" s="95"/>
      <c r="H142" s="36">
        <f>H143+H148+H151+H156+H169+H172+H179+H161+H166</f>
        <v>3049.7999999999997</v>
      </c>
      <c r="I142" s="36">
        <f>I143+I148+I151+I156+I169+I172+I179+I161+I166</f>
        <v>3049.7999999999997</v>
      </c>
      <c r="J142" s="96">
        <f t="shared" si="4"/>
        <v>0</v>
      </c>
      <c r="K142" s="36">
        <f>K143+K148+K151+K156+K169+K172+K179+K161+K166</f>
        <v>4345</v>
      </c>
      <c r="L142" s="36">
        <f>L143+L148+L151+L156+L169+L172+L179+L161+L166</f>
        <v>1473.8</v>
      </c>
    </row>
    <row r="143" spans="1:12" s="4" customFormat="1" ht="15">
      <c r="A143" s="107" t="s">
        <v>201</v>
      </c>
      <c r="B143" s="99" t="s">
        <v>187</v>
      </c>
      <c r="C143" s="99" t="s">
        <v>131</v>
      </c>
      <c r="D143" s="99" t="s">
        <v>160</v>
      </c>
      <c r="E143" s="99" t="s">
        <v>202</v>
      </c>
      <c r="F143" s="99"/>
      <c r="G143" s="100"/>
      <c r="H143" s="74">
        <f>H144+H146</f>
        <v>315</v>
      </c>
      <c r="I143" s="74">
        <f>I144+I146</f>
        <v>315</v>
      </c>
      <c r="J143" s="101">
        <f t="shared" si="4"/>
        <v>0</v>
      </c>
      <c r="K143" s="74">
        <f>K144+K146</f>
        <v>2571.2</v>
      </c>
      <c r="L143" s="74">
        <f>L144+L146</f>
        <v>0</v>
      </c>
    </row>
    <row r="144" spans="1:12" s="4" customFormat="1" ht="30">
      <c r="A144" s="107" t="s">
        <v>688</v>
      </c>
      <c r="B144" s="99" t="s">
        <v>187</v>
      </c>
      <c r="C144" s="99" t="s">
        <v>131</v>
      </c>
      <c r="D144" s="99" t="s">
        <v>160</v>
      </c>
      <c r="E144" s="99" t="s">
        <v>202</v>
      </c>
      <c r="F144" s="99" t="s">
        <v>689</v>
      </c>
      <c r="G144" s="100"/>
      <c r="H144" s="74">
        <f>H145</f>
        <v>315</v>
      </c>
      <c r="I144" s="74">
        <f>I145</f>
        <v>315</v>
      </c>
      <c r="J144" s="101">
        <f t="shared" si="4"/>
        <v>0</v>
      </c>
      <c r="K144" s="74">
        <f>K145</f>
        <v>2571.2</v>
      </c>
      <c r="L144" s="74">
        <f>L145</f>
        <v>0</v>
      </c>
    </row>
    <row r="145" spans="1:12" s="4" customFormat="1" ht="15">
      <c r="A145" s="22" t="s">
        <v>89</v>
      </c>
      <c r="B145" s="99" t="s">
        <v>187</v>
      </c>
      <c r="C145" s="99" t="s">
        <v>131</v>
      </c>
      <c r="D145" s="99" t="s">
        <v>160</v>
      </c>
      <c r="E145" s="99" t="s">
        <v>202</v>
      </c>
      <c r="F145" s="99" t="s">
        <v>689</v>
      </c>
      <c r="G145" s="100" t="s">
        <v>90</v>
      </c>
      <c r="H145" s="74">
        <f>'Пр. 9'!I380</f>
        <v>315</v>
      </c>
      <c r="I145" s="74">
        <f>'Пр. 9'!J380</f>
        <v>315</v>
      </c>
      <c r="J145" s="101">
        <f aca="true" t="shared" si="9" ref="J145:J211">I145-H145</f>
        <v>0</v>
      </c>
      <c r="K145" s="74">
        <f>'Пр. 9'!L380</f>
        <v>2571.2</v>
      </c>
      <c r="L145" s="74">
        <f>'Пр. 9'!M380</f>
        <v>0</v>
      </c>
    </row>
    <row r="146" spans="1:12" s="4" customFormat="1" ht="30">
      <c r="A146" s="107" t="s">
        <v>683</v>
      </c>
      <c r="B146" s="99" t="s">
        <v>187</v>
      </c>
      <c r="C146" s="99" t="s">
        <v>131</v>
      </c>
      <c r="D146" s="99" t="s">
        <v>160</v>
      </c>
      <c r="E146" s="99" t="s">
        <v>202</v>
      </c>
      <c r="F146" s="99" t="s">
        <v>682</v>
      </c>
      <c r="G146" s="100"/>
      <c r="H146" s="74">
        <f>H147</f>
        <v>0</v>
      </c>
      <c r="I146" s="74">
        <f>I147</f>
        <v>0</v>
      </c>
      <c r="J146" s="101">
        <f t="shared" si="9"/>
        <v>0</v>
      </c>
      <c r="K146" s="74">
        <f>K147</f>
        <v>0</v>
      </c>
      <c r="L146" s="74">
        <f>L147</f>
        <v>0</v>
      </c>
    </row>
    <row r="147" spans="1:12" s="4" customFormat="1" ht="15">
      <c r="A147" s="107" t="s">
        <v>99</v>
      </c>
      <c r="B147" s="99" t="s">
        <v>187</v>
      </c>
      <c r="C147" s="99" t="s">
        <v>131</v>
      </c>
      <c r="D147" s="99" t="s">
        <v>160</v>
      </c>
      <c r="E147" s="99" t="s">
        <v>202</v>
      </c>
      <c r="F147" s="99" t="s">
        <v>682</v>
      </c>
      <c r="G147" s="100" t="s">
        <v>100</v>
      </c>
      <c r="H147" s="74">
        <f>'Пр. 9'!I454</f>
        <v>0</v>
      </c>
      <c r="I147" s="74">
        <f>'Пр. 9'!J454</f>
        <v>0</v>
      </c>
      <c r="J147" s="101">
        <f t="shared" si="9"/>
        <v>0</v>
      </c>
      <c r="K147" s="74">
        <f>'Пр. 9'!L454</f>
        <v>0</v>
      </c>
      <c r="L147" s="74">
        <f>'Пр. 9'!M454</f>
        <v>0</v>
      </c>
    </row>
    <row r="148" spans="1:12" s="4" customFormat="1" ht="30">
      <c r="A148" s="107" t="s">
        <v>203</v>
      </c>
      <c r="B148" s="99" t="s">
        <v>187</v>
      </c>
      <c r="C148" s="99" t="s">
        <v>131</v>
      </c>
      <c r="D148" s="99" t="s">
        <v>160</v>
      </c>
      <c r="E148" s="99" t="s">
        <v>204</v>
      </c>
      <c r="F148" s="99"/>
      <c r="G148" s="100"/>
      <c r="H148" s="74">
        <f>H149</f>
        <v>401.8</v>
      </c>
      <c r="I148" s="74">
        <f>I149</f>
        <v>401.8</v>
      </c>
      <c r="J148" s="101">
        <f t="shared" si="9"/>
        <v>0</v>
      </c>
      <c r="K148" s="74">
        <f>K149</f>
        <v>0</v>
      </c>
      <c r="L148" s="74">
        <f>L149</f>
        <v>0</v>
      </c>
    </row>
    <row r="149" spans="1:12" s="4" customFormat="1" ht="30">
      <c r="A149" s="107" t="s">
        <v>683</v>
      </c>
      <c r="B149" s="99" t="s">
        <v>187</v>
      </c>
      <c r="C149" s="99" t="s">
        <v>131</v>
      </c>
      <c r="D149" s="99" t="s">
        <v>160</v>
      </c>
      <c r="E149" s="99" t="s">
        <v>204</v>
      </c>
      <c r="F149" s="99" t="s">
        <v>682</v>
      </c>
      <c r="G149" s="100"/>
      <c r="H149" s="74">
        <f>H150</f>
        <v>401.8</v>
      </c>
      <c r="I149" s="74">
        <f>I150</f>
        <v>401.8</v>
      </c>
      <c r="J149" s="101">
        <f t="shared" si="9"/>
        <v>0</v>
      </c>
      <c r="K149" s="74">
        <f>K150</f>
        <v>0</v>
      </c>
      <c r="L149" s="74">
        <f>L150</f>
        <v>0</v>
      </c>
    </row>
    <row r="150" spans="1:12" s="4" customFormat="1" ht="15">
      <c r="A150" s="107" t="s">
        <v>99</v>
      </c>
      <c r="B150" s="99" t="s">
        <v>187</v>
      </c>
      <c r="C150" s="99" t="s">
        <v>131</v>
      </c>
      <c r="D150" s="99" t="s">
        <v>160</v>
      </c>
      <c r="E150" s="99" t="s">
        <v>204</v>
      </c>
      <c r="F150" s="99" t="s">
        <v>682</v>
      </c>
      <c r="G150" s="100" t="s">
        <v>100</v>
      </c>
      <c r="H150" s="74">
        <f>'Пр. 9'!I456</f>
        <v>401.8</v>
      </c>
      <c r="I150" s="74">
        <f>'Пр. 9'!J456</f>
        <v>401.8</v>
      </c>
      <c r="J150" s="101">
        <f t="shared" si="9"/>
        <v>0</v>
      </c>
      <c r="K150" s="74">
        <f>'Пр. 9'!L456</f>
        <v>0</v>
      </c>
      <c r="L150" s="74">
        <f>'Пр. 9'!M456</f>
        <v>0</v>
      </c>
    </row>
    <row r="151" spans="1:12" s="4" customFormat="1" ht="30">
      <c r="A151" s="115" t="s">
        <v>702</v>
      </c>
      <c r="B151" s="99" t="s">
        <v>187</v>
      </c>
      <c r="C151" s="99" t="s">
        <v>131</v>
      </c>
      <c r="D151" s="99" t="s">
        <v>160</v>
      </c>
      <c r="E151" s="99" t="s">
        <v>699</v>
      </c>
      <c r="F151" s="99"/>
      <c r="G151" s="100"/>
      <c r="H151" s="74">
        <f>H152+H154</f>
        <v>483.4</v>
      </c>
      <c r="I151" s="74">
        <f>I152+I154</f>
        <v>483.4</v>
      </c>
      <c r="J151" s="101">
        <f t="shared" si="9"/>
        <v>0</v>
      </c>
      <c r="K151" s="74">
        <f>K152+K154</f>
        <v>300</v>
      </c>
      <c r="L151" s="74">
        <f>L152+L154</f>
        <v>0</v>
      </c>
    </row>
    <row r="152" spans="1:12" s="4" customFormat="1" ht="30">
      <c r="A152" s="115" t="s">
        <v>683</v>
      </c>
      <c r="B152" s="99" t="s">
        <v>187</v>
      </c>
      <c r="C152" s="99" t="s">
        <v>131</v>
      </c>
      <c r="D152" s="99" t="s">
        <v>160</v>
      </c>
      <c r="E152" s="99" t="s">
        <v>699</v>
      </c>
      <c r="F152" s="99" t="s">
        <v>682</v>
      </c>
      <c r="G152" s="100"/>
      <c r="H152" s="74">
        <f>H153</f>
        <v>0</v>
      </c>
      <c r="I152" s="74">
        <f>I153</f>
        <v>0</v>
      </c>
      <c r="J152" s="101">
        <f t="shared" si="9"/>
        <v>0</v>
      </c>
      <c r="K152" s="74">
        <f>K153</f>
        <v>300</v>
      </c>
      <c r="L152" s="74">
        <f>L153</f>
        <v>0</v>
      </c>
    </row>
    <row r="153" spans="1:12" s="4" customFormat="1" ht="15">
      <c r="A153" s="107" t="s">
        <v>99</v>
      </c>
      <c r="B153" s="99" t="s">
        <v>187</v>
      </c>
      <c r="C153" s="99" t="s">
        <v>131</v>
      </c>
      <c r="D153" s="99" t="s">
        <v>160</v>
      </c>
      <c r="E153" s="99" t="s">
        <v>699</v>
      </c>
      <c r="F153" s="99" t="s">
        <v>682</v>
      </c>
      <c r="G153" s="100" t="s">
        <v>100</v>
      </c>
      <c r="H153" s="74">
        <f>'Пр. 9'!I458</f>
        <v>0</v>
      </c>
      <c r="I153" s="74">
        <f>'Пр. 9'!J458</f>
        <v>0</v>
      </c>
      <c r="J153" s="101">
        <f t="shared" si="9"/>
        <v>0</v>
      </c>
      <c r="K153" s="74">
        <f>'Пр. 9'!L458</f>
        <v>300</v>
      </c>
      <c r="L153" s="74">
        <f>'Пр. 9'!M458</f>
        <v>0</v>
      </c>
    </row>
    <row r="154" spans="1:12" s="4" customFormat="1" ht="30">
      <c r="A154" s="107" t="s">
        <v>688</v>
      </c>
      <c r="B154" s="99" t="s">
        <v>187</v>
      </c>
      <c r="C154" s="99" t="s">
        <v>131</v>
      </c>
      <c r="D154" s="99" t="s">
        <v>160</v>
      </c>
      <c r="E154" s="99" t="s">
        <v>699</v>
      </c>
      <c r="F154" s="99" t="s">
        <v>689</v>
      </c>
      <c r="G154" s="100"/>
      <c r="H154" s="74">
        <f>H155</f>
        <v>483.4</v>
      </c>
      <c r="I154" s="74">
        <f>I155</f>
        <v>483.4</v>
      </c>
      <c r="J154" s="101">
        <f t="shared" si="9"/>
        <v>0</v>
      </c>
      <c r="K154" s="74">
        <f>K155</f>
        <v>0</v>
      </c>
      <c r="L154" s="74">
        <f>L155</f>
        <v>0</v>
      </c>
    </row>
    <row r="155" spans="1:12" s="4" customFormat="1" ht="15">
      <c r="A155" s="22" t="s">
        <v>89</v>
      </c>
      <c r="B155" s="99" t="s">
        <v>187</v>
      </c>
      <c r="C155" s="99" t="s">
        <v>131</v>
      </c>
      <c r="D155" s="99" t="s">
        <v>160</v>
      </c>
      <c r="E155" s="99" t="s">
        <v>699</v>
      </c>
      <c r="F155" s="99" t="s">
        <v>689</v>
      </c>
      <c r="G155" s="100" t="s">
        <v>90</v>
      </c>
      <c r="H155" s="74">
        <f>'Пр. 9'!I382</f>
        <v>483.4</v>
      </c>
      <c r="I155" s="74">
        <f>'Пр. 9'!J382</f>
        <v>483.4</v>
      </c>
      <c r="J155" s="101">
        <f t="shared" si="9"/>
        <v>0</v>
      </c>
      <c r="K155" s="74">
        <f>'Пр. 9'!L382</f>
        <v>0</v>
      </c>
      <c r="L155" s="74">
        <f>'Пр. 9'!M382</f>
        <v>0</v>
      </c>
    </row>
    <row r="156" spans="1:12" s="4" customFormat="1" ht="15">
      <c r="A156" s="115" t="s">
        <v>700</v>
      </c>
      <c r="B156" s="99" t="s">
        <v>187</v>
      </c>
      <c r="C156" s="99" t="s">
        <v>131</v>
      </c>
      <c r="D156" s="99" t="s">
        <v>160</v>
      </c>
      <c r="E156" s="99" t="s">
        <v>701</v>
      </c>
      <c r="F156" s="99"/>
      <c r="G156" s="100"/>
      <c r="H156" s="119">
        <f>H157+H159</f>
        <v>195</v>
      </c>
      <c r="I156" s="119">
        <f>I157+I159</f>
        <v>195</v>
      </c>
      <c r="J156" s="101">
        <f t="shared" si="9"/>
        <v>0</v>
      </c>
      <c r="K156" s="119">
        <f>K157+K159</f>
        <v>30</v>
      </c>
      <c r="L156" s="119">
        <f>L157+L159</f>
        <v>30</v>
      </c>
    </row>
    <row r="157" spans="1:12" s="4" customFormat="1" ht="30">
      <c r="A157" s="115" t="s">
        <v>688</v>
      </c>
      <c r="B157" s="99" t="s">
        <v>187</v>
      </c>
      <c r="C157" s="99" t="s">
        <v>131</v>
      </c>
      <c r="D157" s="99" t="s">
        <v>160</v>
      </c>
      <c r="E157" s="99" t="s">
        <v>701</v>
      </c>
      <c r="F157" s="99" t="s">
        <v>689</v>
      </c>
      <c r="G157" s="100"/>
      <c r="H157" s="74">
        <f>H158</f>
        <v>165</v>
      </c>
      <c r="I157" s="74">
        <f>I158</f>
        <v>165</v>
      </c>
      <c r="J157" s="101">
        <f t="shared" si="9"/>
        <v>0</v>
      </c>
      <c r="K157" s="74">
        <f>K158</f>
        <v>0</v>
      </c>
      <c r="L157" s="74">
        <f>L158</f>
        <v>0</v>
      </c>
    </row>
    <row r="158" spans="1:12" s="4" customFormat="1" ht="15">
      <c r="A158" s="22" t="s">
        <v>89</v>
      </c>
      <c r="B158" s="99" t="s">
        <v>187</v>
      </c>
      <c r="C158" s="99" t="s">
        <v>131</v>
      </c>
      <c r="D158" s="99" t="s">
        <v>160</v>
      </c>
      <c r="E158" s="99" t="s">
        <v>701</v>
      </c>
      <c r="F158" s="99" t="s">
        <v>689</v>
      </c>
      <c r="G158" s="100" t="s">
        <v>90</v>
      </c>
      <c r="H158" s="74">
        <f>'Пр. 9'!I384</f>
        <v>165</v>
      </c>
      <c r="I158" s="74">
        <f>'Пр. 9'!J384</f>
        <v>165</v>
      </c>
      <c r="J158" s="101">
        <f t="shared" si="9"/>
        <v>0</v>
      </c>
      <c r="K158" s="74">
        <f>'Пр. 9'!L384</f>
        <v>0</v>
      </c>
      <c r="L158" s="74">
        <f>'Пр. 9'!M384</f>
        <v>0</v>
      </c>
    </row>
    <row r="159" spans="1:12" s="4" customFormat="1" ht="30">
      <c r="A159" s="115" t="s">
        <v>683</v>
      </c>
      <c r="B159" s="99" t="s">
        <v>187</v>
      </c>
      <c r="C159" s="99" t="s">
        <v>131</v>
      </c>
      <c r="D159" s="99" t="s">
        <v>160</v>
      </c>
      <c r="E159" s="99" t="s">
        <v>701</v>
      </c>
      <c r="F159" s="99" t="s">
        <v>682</v>
      </c>
      <c r="G159" s="100"/>
      <c r="H159" s="74">
        <f>H160</f>
        <v>30</v>
      </c>
      <c r="I159" s="74">
        <f>I160</f>
        <v>30</v>
      </c>
      <c r="J159" s="101">
        <f t="shared" si="9"/>
        <v>0</v>
      </c>
      <c r="K159" s="74">
        <f>K160</f>
        <v>30</v>
      </c>
      <c r="L159" s="74">
        <f>L160</f>
        <v>30</v>
      </c>
    </row>
    <row r="160" spans="1:12" s="4" customFormat="1" ht="15">
      <c r="A160" s="107" t="s">
        <v>99</v>
      </c>
      <c r="B160" s="99" t="s">
        <v>187</v>
      </c>
      <c r="C160" s="99" t="s">
        <v>131</v>
      </c>
      <c r="D160" s="99" t="s">
        <v>160</v>
      </c>
      <c r="E160" s="99" t="s">
        <v>701</v>
      </c>
      <c r="F160" s="99" t="s">
        <v>682</v>
      </c>
      <c r="G160" s="100" t="s">
        <v>100</v>
      </c>
      <c r="H160" s="74">
        <f>'Пр. 9'!I460</f>
        <v>30</v>
      </c>
      <c r="I160" s="74">
        <f>'Пр. 9'!J460</f>
        <v>30</v>
      </c>
      <c r="J160" s="101">
        <f t="shared" si="9"/>
        <v>0</v>
      </c>
      <c r="K160" s="74">
        <f>'Пр. 9'!L460</f>
        <v>30</v>
      </c>
      <c r="L160" s="74">
        <f>'Пр. 9'!M460</f>
        <v>30</v>
      </c>
    </row>
    <row r="161" spans="1:12" s="4" customFormat="1" ht="30">
      <c r="A161" s="115" t="s">
        <v>1011</v>
      </c>
      <c r="B161" s="99" t="s">
        <v>187</v>
      </c>
      <c r="C161" s="99" t="s">
        <v>131</v>
      </c>
      <c r="D161" s="99" t="s">
        <v>160</v>
      </c>
      <c r="E161" s="99" t="s">
        <v>1012</v>
      </c>
      <c r="F161" s="99"/>
      <c r="G161" s="100"/>
      <c r="H161" s="74">
        <f>H162+H164</f>
        <v>40</v>
      </c>
      <c r="I161" s="74">
        <f>I162+I164</f>
        <v>40</v>
      </c>
      <c r="J161" s="101">
        <f t="shared" si="9"/>
        <v>0</v>
      </c>
      <c r="K161" s="74">
        <f>K162+K164</f>
        <v>0</v>
      </c>
      <c r="L161" s="74">
        <f>L162+L164</f>
        <v>0</v>
      </c>
    </row>
    <row r="162" spans="1:12" s="4" customFormat="1" ht="30">
      <c r="A162" s="115" t="s">
        <v>688</v>
      </c>
      <c r="B162" s="99" t="s">
        <v>187</v>
      </c>
      <c r="C162" s="99" t="s">
        <v>131</v>
      </c>
      <c r="D162" s="99" t="s">
        <v>160</v>
      </c>
      <c r="E162" s="99" t="s">
        <v>1012</v>
      </c>
      <c r="F162" s="99" t="s">
        <v>689</v>
      </c>
      <c r="G162" s="100"/>
      <c r="H162" s="74">
        <f>H163</f>
        <v>40</v>
      </c>
      <c r="I162" s="74">
        <f>I163</f>
        <v>40</v>
      </c>
      <c r="J162" s="101">
        <f t="shared" si="9"/>
        <v>0</v>
      </c>
      <c r="K162" s="74">
        <f>K163</f>
        <v>0</v>
      </c>
      <c r="L162" s="74">
        <f>L163</f>
        <v>0</v>
      </c>
    </row>
    <row r="163" spans="1:12" s="4" customFormat="1" ht="15">
      <c r="A163" s="22" t="s">
        <v>89</v>
      </c>
      <c r="B163" s="99" t="s">
        <v>187</v>
      </c>
      <c r="C163" s="99" t="s">
        <v>131</v>
      </c>
      <c r="D163" s="99" t="s">
        <v>160</v>
      </c>
      <c r="E163" s="99" t="s">
        <v>1012</v>
      </c>
      <c r="F163" s="99" t="s">
        <v>689</v>
      </c>
      <c r="G163" s="100" t="s">
        <v>90</v>
      </c>
      <c r="H163" s="74">
        <f>'Пр. 9'!I386</f>
        <v>40</v>
      </c>
      <c r="I163" s="74">
        <f>'Пр. 9'!J386</f>
        <v>40</v>
      </c>
      <c r="J163" s="101">
        <f t="shared" si="9"/>
        <v>0</v>
      </c>
      <c r="K163" s="74">
        <f>'Пр. 9'!L386</f>
        <v>0</v>
      </c>
      <c r="L163" s="74">
        <f>'Пр. 9'!M386</f>
        <v>0</v>
      </c>
    </row>
    <row r="164" spans="1:12" s="4" customFormat="1" ht="30" hidden="1">
      <c r="A164" s="115" t="s">
        <v>683</v>
      </c>
      <c r="B164" s="99" t="s">
        <v>187</v>
      </c>
      <c r="C164" s="99" t="s">
        <v>131</v>
      </c>
      <c r="D164" s="99" t="s">
        <v>160</v>
      </c>
      <c r="E164" s="99" t="s">
        <v>1012</v>
      </c>
      <c r="F164" s="99" t="s">
        <v>682</v>
      </c>
      <c r="G164" s="100"/>
      <c r="H164" s="74">
        <f>H165</f>
        <v>0</v>
      </c>
      <c r="I164" s="74">
        <f>I165</f>
        <v>0</v>
      </c>
      <c r="J164" s="101">
        <f t="shared" si="9"/>
        <v>0</v>
      </c>
      <c r="K164" s="74">
        <f>K165</f>
        <v>0</v>
      </c>
      <c r="L164" s="74">
        <f>L165</f>
        <v>0</v>
      </c>
    </row>
    <row r="165" spans="1:12" s="4" customFormat="1" ht="15" hidden="1">
      <c r="A165" s="107" t="s">
        <v>99</v>
      </c>
      <c r="B165" s="99" t="s">
        <v>187</v>
      </c>
      <c r="C165" s="99" t="s">
        <v>131</v>
      </c>
      <c r="D165" s="99" t="s">
        <v>160</v>
      </c>
      <c r="E165" s="99" t="s">
        <v>1012</v>
      </c>
      <c r="F165" s="99" t="s">
        <v>682</v>
      </c>
      <c r="G165" s="100" t="s">
        <v>100</v>
      </c>
      <c r="H165" s="74">
        <f>'Пр. 9'!I462</f>
        <v>0</v>
      </c>
      <c r="I165" s="74">
        <f>'Пр. 9'!J462</f>
        <v>0</v>
      </c>
      <c r="J165" s="101">
        <f t="shared" si="9"/>
        <v>0</v>
      </c>
      <c r="K165" s="74">
        <f>'Пр. 9'!L462</f>
        <v>0</v>
      </c>
      <c r="L165" s="74">
        <f>'Пр. 9'!M462</f>
        <v>0</v>
      </c>
    </row>
    <row r="166" spans="1:12" s="4" customFormat="1" ht="45" hidden="1">
      <c r="A166" s="115" t="s">
        <v>1014</v>
      </c>
      <c r="B166" s="99" t="s">
        <v>187</v>
      </c>
      <c r="C166" s="99" t="s">
        <v>131</v>
      </c>
      <c r="D166" s="99" t="s">
        <v>160</v>
      </c>
      <c r="E166" s="99" t="s">
        <v>1013</v>
      </c>
      <c r="F166" s="99"/>
      <c r="G166" s="100"/>
      <c r="H166" s="74">
        <f>H167</f>
        <v>0</v>
      </c>
      <c r="I166" s="74">
        <f>I167</f>
        <v>0</v>
      </c>
      <c r="J166" s="101">
        <f t="shared" si="9"/>
        <v>0</v>
      </c>
      <c r="K166" s="101">
        <f>K167</f>
        <v>0</v>
      </c>
      <c r="L166" s="101">
        <f>L167</f>
        <v>0</v>
      </c>
    </row>
    <row r="167" spans="1:12" s="4" customFormat="1" ht="15" hidden="1">
      <c r="A167" s="107" t="s">
        <v>692</v>
      </c>
      <c r="B167" s="99" t="s">
        <v>187</v>
      </c>
      <c r="C167" s="99" t="s">
        <v>131</v>
      </c>
      <c r="D167" s="99" t="s">
        <v>160</v>
      </c>
      <c r="E167" s="99" t="s">
        <v>1013</v>
      </c>
      <c r="F167" s="99" t="s">
        <v>691</v>
      </c>
      <c r="G167" s="100"/>
      <c r="H167" s="74">
        <f>H168</f>
        <v>0</v>
      </c>
      <c r="I167" s="74">
        <f>I168</f>
        <v>0</v>
      </c>
      <c r="J167" s="101">
        <f t="shared" si="9"/>
        <v>0</v>
      </c>
      <c r="K167" s="101">
        <f>K168</f>
        <v>0</v>
      </c>
      <c r="L167" s="101">
        <f>L168</f>
        <v>0</v>
      </c>
    </row>
    <row r="168" spans="1:12" s="4" customFormat="1" ht="15" hidden="1">
      <c r="A168" s="107" t="s">
        <v>99</v>
      </c>
      <c r="B168" s="99" t="s">
        <v>187</v>
      </c>
      <c r="C168" s="99" t="s">
        <v>131</v>
      </c>
      <c r="D168" s="99" t="s">
        <v>160</v>
      </c>
      <c r="E168" s="99" t="s">
        <v>1013</v>
      </c>
      <c r="F168" s="99" t="s">
        <v>691</v>
      </c>
      <c r="G168" s="100" t="s">
        <v>100</v>
      </c>
      <c r="H168" s="74">
        <f>'Пр. 9'!I467</f>
        <v>0</v>
      </c>
      <c r="I168" s="74">
        <f>'Пр. 9'!J467</f>
        <v>0</v>
      </c>
      <c r="J168" s="101">
        <f t="shared" si="9"/>
        <v>0</v>
      </c>
      <c r="K168" s="74">
        <f>'Пр. 9'!L467</f>
        <v>0</v>
      </c>
      <c r="L168" s="74">
        <f>'Пр. 9'!M467</f>
        <v>0</v>
      </c>
    </row>
    <row r="169" spans="1:12" s="4" customFormat="1" ht="30">
      <c r="A169" s="22" t="s">
        <v>1031</v>
      </c>
      <c r="B169" s="99" t="s">
        <v>187</v>
      </c>
      <c r="C169" s="99" t="s">
        <v>131</v>
      </c>
      <c r="D169" s="99" t="s">
        <v>160</v>
      </c>
      <c r="E169" s="99" t="s">
        <v>1030</v>
      </c>
      <c r="F169" s="99"/>
      <c r="G169" s="100"/>
      <c r="H169" s="74">
        <f>H170</f>
        <v>210.5</v>
      </c>
      <c r="I169" s="74">
        <f>I170</f>
        <v>210.5</v>
      </c>
      <c r="J169" s="101">
        <f t="shared" si="9"/>
        <v>0</v>
      </c>
      <c r="K169" s="119">
        <f>K170</f>
        <v>0</v>
      </c>
      <c r="L169" s="119">
        <f>L170</f>
        <v>0</v>
      </c>
    </row>
    <row r="170" spans="1:12" s="4" customFormat="1" ht="30">
      <c r="A170" s="107" t="s">
        <v>688</v>
      </c>
      <c r="B170" s="99" t="s">
        <v>187</v>
      </c>
      <c r="C170" s="99" t="s">
        <v>131</v>
      </c>
      <c r="D170" s="99" t="s">
        <v>160</v>
      </c>
      <c r="E170" s="99" t="s">
        <v>1030</v>
      </c>
      <c r="F170" s="99" t="s">
        <v>689</v>
      </c>
      <c r="G170" s="100"/>
      <c r="H170" s="74">
        <f>H171</f>
        <v>210.5</v>
      </c>
      <c r="I170" s="74">
        <f>I171</f>
        <v>210.5</v>
      </c>
      <c r="J170" s="101">
        <f t="shared" si="9"/>
        <v>0</v>
      </c>
      <c r="K170" s="119">
        <f>K171</f>
        <v>0</v>
      </c>
      <c r="L170" s="119">
        <f>L171</f>
        <v>0</v>
      </c>
    </row>
    <row r="171" spans="1:12" s="4" customFormat="1" ht="15">
      <c r="A171" s="22" t="s">
        <v>89</v>
      </c>
      <c r="B171" s="99" t="s">
        <v>187</v>
      </c>
      <c r="C171" s="99" t="s">
        <v>131</v>
      </c>
      <c r="D171" s="99" t="s">
        <v>160</v>
      </c>
      <c r="E171" s="99" t="s">
        <v>1030</v>
      </c>
      <c r="F171" s="99" t="s">
        <v>689</v>
      </c>
      <c r="G171" s="100" t="s">
        <v>90</v>
      </c>
      <c r="H171" s="74">
        <f>'Пр. 9'!I388</f>
        <v>210.5</v>
      </c>
      <c r="I171" s="74">
        <f>'Пр. 9'!J388</f>
        <v>210.5</v>
      </c>
      <c r="J171" s="101">
        <f t="shared" si="9"/>
        <v>0</v>
      </c>
      <c r="K171" s="74">
        <f>'Пр. 9'!L388</f>
        <v>0</v>
      </c>
      <c r="L171" s="74">
        <f>'Пр. 9'!M388</f>
        <v>0</v>
      </c>
    </row>
    <row r="172" spans="1:12" s="4" customFormat="1" ht="15" hidden="1">
      <c r="A172" s="115" t="s">
        <v>705</v>
      </c>
      <c r="B172" s="99" t="s">
        <v>187</v>
      </c>
      <c r="C172" s="99" t="s">
        <v>131</v>
      </c>
      <c r="D172" s="99" t="s">
        <v>160</v>
      </c>
      <c r="E172" s="99" t="s">
        <v>706</v>
      </c>
      <c r="F172" s="99"/>
      <c r="G172" s="100"/>
      <c r="H172" s="74">
        <f>H173+H175+H177</f>
        <v>0</v>
      </c>
      <c r="I172" s="74">
        <f>I173+I175+I177</f>
        <v>0</v>
      </c>
      <c r="J172" s="101">
        <f t="shared" si="9"/>
        <v>0</v>
      </c>
      <c r="K172" s="74">
        <f>K173+K175+K177</f>
        <v>0</v>
      </c>
      <c r="L172" s="74">
        <f>L173+L175+L177</f>
        <v>0</v>
      </c>
    </row>
    <row r="173" spans="1:12" s="4" customFormat="1" ht="30" hidden="1">
      <c r="A173" s="115" t="s">
        <v>683</v>
      </c>
      <c r="B173" s="99" t="s">
        <v>187</v>
      </c>
      <c r="C173" s="99" t="s">
        <v>131</v>
      </c>
      <c r="D173" s="99" t="s">
        <v>160</v>
      </c>
      <c r="E173" s="99" t="s">
        <v>706</v>
      </c>
      <c r="F173" s="99" t="s">
        <v>682</v>
      </c>
      <c r="G173" s="100"/>
      <c r="H173" s="74">
        <f>H174</f>
        <v>0</v>
      </c>
      <c r="I173" s="74">
        <f>I174</f>
        <v>0</v>
      </c>
      <c r="J173" s="101">
        <f t="shared" si="9"/>
        <v>0</v>
      </c>
      <c r="K173" s="74">
        <f>K174</f>
        <v>0</v>
      </c>
      <c r="L173" s="74">
        <f>L174</f>
        <v>0</v>
      </c>
    </row>
    <row r="174" spans="1:12" s="4" customFormat="1" ht="15" hidden="1">
      <c r="A174" s="107" t="s">
        <v>99</v>
      </c>
      <c r="B174" s="99" t="s">
        <v>187</v>
      </c>
      <c r="C174" s="99" t="s">
        <v>131</v>
      </c>
      <c r="D174" s="99" t="s">
        <v>160</v>
      </c>
      <c r="E174" s="99" t="s">
        <v>706</v>
      </c>
      <c r="F174" s="99" t="s">
        <v>682</v>
      </c>
      <c r="G174" s="100" t="s">
        <v>100</v>
      </c>
      <c r="H174" s="74">
        <f>'Пр. 9'!I464</f>
        <v>0</v>
      </c>
      <c r="I174" s="74">
        <f>'Пр. 9'!J464</f>
        <v>0</v>
      </c>
      <c r="J174" s="101">
        <f t="shared" si="9"/>
        <v>0</v>
      </c>
      <c r="K174" s="74">
        <f>'Пр. 9'!L464</f>
        <v>0</v>
      </c>
      <c r="L174" s="74">
        <f>'Пр. 9'!M464</f>
        <v>0</v>
      </c>
    </row>
    <row r="175" spans="1:12" s="4" customFormat="1" ht="15" hidden="1">
      <c r="A175" s="107" t="s">
        <v>692</v>
      </c>
      <c r="B175" s="99" t="s">
        <v>187</v>
      </c>
      <c r="C175" s="99" t="s">
        <v>131</v>
      </c>
      <c r="D175" s="99" t="s">
        <v>160</v>
      </c>
      <c r="E175" s="99" t="s">
        <v>706</v>
      </c>
      <c r="F175" s="99" t="s">
        <v>691</v>
      </c>
      <c r="G175" s="100"/>
      <c r="H175" s="74">
        <f>H176</f>
        <v>0</v>
      </c>
      <c r="I175" s="74">
        <f>I176</f>
        <v>0</v>
      </c>
      <c r="J175" s="101">
        <f t="shared" si="9"/>
        <v>0</v>
      </c>
      <c r="K175" s="74">
        <f>K176</f>
        <v>0</v>
      </c>
      <c r="L175" s="74">
        <f>L176</f>
        <v>0</v>
      </c>
    </row>
    <row r="176" spans="1:12" s="4" customFormat="1" ht="15" hidden="1">
      <c r="A176" s="107" t="s">
        <v>99</v>
      </c>
      <c r="B176" s="99" t="s">
        <v>187</v>
      </c>
      <c r="C176" s="99" t="s">
        <v>131</v>
      </c>
      <c r="D176" s="99" t="s">
        <v>160</v>
      </c>
      <c r="E176" s="99" t="s">
        <v>706</v>
      </c>
      <c r="F176" s="99" t="s">
        <v>691</v>
      </c>
      <c r="G176" s="100" t="s">
        <v>100</v>
      </c>
      <c r="H176" s="74">
        <f>'Пр. 9'!I465</f>
        <v>0</v>
      </c>
      <c r="I176" s="74">
        <f>'Пр. 9'!J465</f>
        <v>0</v>
      </c>
      <c r="J176" s="101">
        <f t="shared" si="9"/>
        <v>0</v>
      </c>
      <c r="K176" s="74">
        <f>'Пр. 9'!L465</f>
        <v>0</v>
      </c>
      <c r="L176" s="74">
        <f>'Пр. 9'!M465</f>
        <v>0</v>
      </c>
    </row>
    <row r="177" spans="1:12" s="4" customFormat="1" ht="30" hidden="1">
      <c r="A177" s="107" t="s">
        <v>688</v>
      </c>
      <c r="B177" s="99" t="s">
        <v>187</v>
      </c>
      <c r="C177" s="99" t="s">
        <v>131</v>
      </c>
      <c r="D177" s="99" t="s">
        <v>160</v>
      </c>
      <c r="E177" s="99" t="s">
        <v>706</v>
      </c>
      <c r="F177" s="99" t="s">
        <v>689</v>
      </c>
      <c r="G177" s="100"/>
      <c r="H177" s="74">
        <f>H178</f>
        <v>0</v>
      </c>
      <c r="I177" s="74">
        <f>I178</f>
        <v>0</v>
      </c>
      <c r="J177" s="101">
        <f t="shared" si="9"/>
        <v>0</v>
      </c>
      <c r="K177" s="74">
        <f>K178</f>
        <v>0</v>
      </c>
      <c r="L177" s="74">
        <f>L178</f>
        <v>0</v>
      </c>
    </row>
    <row r="178" spans="1:12" s="4" customFormat="1" ht="15" hidden="1">
      <c r="A178" s="22" t="s">
        <v>89</v>
      </c>
      <c r="B178" s="99" t="s">
        <v>187</v>
      </c>
      <c r="C178" s="99" t="s">
        <v>131</v>
      </c>
      <c r="D178" s="99" t="s">
        <v>160</v>
      </c>
      <c r="E178" s="99" t="s">
        <v>706</v>
      </c>
      <c r="F178" s="99" t="s">
        <v>689</v>
      </c>
      <c r="G178" s="100" t="s">
        <v>90</v>
      </c>
      <c r="H178" s="74">
        <f>'Пр. 9'!I390</f>
        <v>0</v>
      </c>
      <c r="I178" s="74">
        <f>'Пр. 9'!J390</f>
        <v>0</v>
      </c>
      <c r="J178" s="101">
        <f t="shared" si="9"/>
        <v>0</v>
      </c>
      <c r="K178" s="74">
        <f>'Пр. 9'!L390</f>
        <v>0</v>
      </c>
      <c r="L178" s="74">
        <f>'Пр. 9'!M390</f>
        <v>0</v>
      </c>
    </row>
    <row r="179" spans="1:12" s="4" customFormat="1" ht="15">
      <c r="A179" s="115" t="s">
        <v>705</v>
      </c>
      <c r="B179" s="99" t="s">
        <v>187</v>
      </c>
      <c r="C179" s="99" t="s">
        <v>131</v>
      </c>
      <c r="D179" s="99" t="s">
        <v>160</v>
      </c>
      <c r="E179" s="99" t="s">
        <v>731</v>
      </c>
      <c r="F179" s="99"/>
      <c r="G179" s="100"/>
      <c r="H179" s="74">
        <f>H184+H182+H180</f>
        <v>1404.1</v>
      </c>
      <c r="I179" s="74">
        <f>I184+I182+I180</f>
        <v>1404.1</v>
      </c>
      <c r="J179" s="101">
        <f t="shared" si="9"/>
        <v>0</v>
      </c>
      <c r="K179" s="74">
        <f>K184+K182+K180</f>
        <v>1443.8</v>
      </c>
      <c r="L179" s="74">
        <f>L184+L182+L180</f>
        <v>1443.8</v>
      </c>
    </row>
    <row r="180" spans="1:12" s="4" customFormat="1" ht="30">
      <c r="A180" s="115" t="s">
        <v>683</v>
      </c>
      <c r="B180" s="99" t="s">
        <v>187</v>
      </c>
      <c r="C180" s="99" t="s">
        <v>131</v>
      </c>
      <c r="D180" s="99" t="s">
        <v>160</v>
      </c>
      <c r="E180" s="99" t="s">
        <v>731</v>
      </c>
      <c r="F180" s="99" t="s">
        <v>682</v>
      </c>
      <c r="G180" s="100"/>
      <c r="H180" s="74">
        <f>H181</f>
        <v>803.3</v>
      </c>
      <c r="I180" s="74">
        <f>I181</f>
        <v>803.3</v>
      </c>
      <c r="J180" s="101">
        <f t="shared" si="9"/>
        <v>0</v>
      </c>
      <c r="K180" s="74">
        <f>K181</f>
        <v>843</v>
      </c>
      <c r="L180" s="74">
        <f>L181</f>
        <v>843</v>
      </c>
    </row>
    <row r="181" spans="1:12" s="4" customFormat="1" ht="15">
      <c r="A181" s="107" t="s">
        <v>99</v>
      </c>
      <c r="B181" s="99" t="s">
        <v>187</v>
      </c>
      <c r="C181" s="99" t="s">
        <v>131</v>
      </c>
      <c r="D181" s="99" t="s">
        <v>160</v>
      </c>
      <c r="E181" s="99" t="s">
        <v>731</v>
      </c>
      <c r="F181" s="99" t="s">
        <v>682</v>
      </c>
      <c r="G181" s="100" t="s">
        <v>100</v>
      </c>
      <c r="H181" s="74">
        <f>'Пр. 9'!I469</f>
        <v>803.3</v>
      </c>
      <c r="I181" s="74">
        <f>'Пр. 9'!J469</f>
        <v>803.3</v>
      </c>
      <c r="J181" s="101">
        <f t="shared" si="9"/>
        <v>0</v>
      </c>
      <c r="K181" s="74">
        <f>'Пр. 9'!L469</f>
        <v>843</v>
      </c>
      <c r="L181" s="74">
        <f>'Пр. 9'!M469</f>
        <v>843</v>
      </c>
    </row>
    <row r="182" spans="1:12" s="4" customFormat="1" ht="15">
      <c r="A182" s="115" t="s">
        <v>692</v>
      </c>
      <c r="B182" s="99" t="s">
        <v>187</v>
      </c>
      <c r="C182" s="99" t="s">
        <v>131</v>
      </c>
      <c r="D182" s="99" t="s">
        <v>160</v>
      </c>
      <c r="E182" s="99" t="s">
        <v>731</v>
      </c>
      <c r="F182" s="99" t="s">
        <v>691</v>
      </c>
      <c r="G182" s="100"/>
      <c r="H182" s="74">
        <f>H183</f>
        <v>230.7</v>
      </c>
      <c r="I182" s="74">
        <f>I183</f>
        <v>230.7</v>
      </c>
      <c r="J182" s="101">
        <f t="shared" si="9"/>
        <v>0</v>
      </c>
      <c r="K182" s="74">
        <f>K183</f>
        <v>230.7</v>
      </c>
      <c r="L182" s="74">
        <f>L183</f>
        <v>230.7</v>
      </c>
    </row>
    <row r="183" spans="1:12" s="4" customFormat="1" ht="15">
      <c r="A183" s="107" t="s">
        <v>99</v>
      </c>
      <c r="B183" s="99" t="s">
        <v>187</v>
      </c>
      <c r="C183" s="99" t="s">
        <v>131</v>
      </c>
      <c r="D183" s="99" t="s">
        <v>160</v>
      </c>
      <c r="E183" s="99" t="s">
        <v>731</v>
      </c>
      <c r="F183" s="99" t="s">
        <v>691</v>
      </c>
      <c r="G183" s="100" t="s">
        <v>100</v>
      </c>
      <c r="H183" s="74">
        <f>'Пр. 9'!I470</f>
        <v>230.7</v>
      </c>
      <c r="I183" s="74">
        <f>'Пр. 9'!J470</f>
        <v>230.7</v>
      </c>
      <c r="J183" s="101">
        <f t="shared" si="9"/>
        <v>0</v>
      </c>
      <c r="K183" s="74">
        <f>'Пр. 9'!L470</f>
        <v>230.7</v>
      </c>
      <c r="L183" s="74">
        <f>'Пр. 9'!M470</f>
        <v>230.7</v>
      </c>
    </row>
    <row r="184" spans="1:12" s="4" customFormat="1" ht="30">
      <c r="A184" s="107" t="s">
        <v>688</v>
      </c>
      <c r="B184" s="99" t="s">
        <v>187</v>
      </c>
      <c r="C184" s="99" t="s">
        <v>131</v>
      </c>
      <c r="D184" s="99" t="s">
        <v>160</v>
      </c>
      <c r="E184" s="99" t="s">
        <v>731</v>
      </c>
      <c r="F184" s="99" t="s">
        <v>689</v>
      </c>
      <c r="G184" s="100"/>
      <c r="H184" s="74">
        <f>H185</f>
        <v>370.1</v>
      </c>
      <c r="I184" s="74">
        <f>I185</f>
        <v>370.1</v>
      </c>
      <c r="J184" s="101">
        <f t="shared" si="9"/>
        <v>0</v>
      </c>
      <c r="K184" s="74">
        <f>K185</f>
        <v>370.1</v>
      </c>
      <c r="L184" s="74">
        <f>L185</f>
        <v>370.1</v>
      </c>
    </row>
    <row r="185" spans="1:12" s="4" customFormat="1" ht="15">
      <c r="A185" s="22" t="s">
        <v>89</v>
      </c>
      <c r="B185" s="99" t="s">
        <v>187</v>
      </c>
      <c r="C185" s="99" t="s">
        <v>131</v>
      </c>
      <c r="D185" s="99" t="s">
        <v>160</v>
      </c>
      <c r="E185" s="99" t="s">
        <v>731</v>
      </c>
      <c r="F185" s="99" t="s">
        <v>689</v>
      </c>
      <c r="G185" s="100" t="s">
        <v>90</v>
      </c>
      <c r="H185" s="74">
        <f>'Пр. 9'!I392</f>
        <v>370.1</v>
      </c>
      <c r="I185" s="74">
        <f>'Пр. 9'!J392</f>
        <v>370.1</v>
      </c>
      <c r="J185" s="101">
        <f t="shared" si="9"/>
        <v>0</v>
      </c>
      <c r="K185" s="74">
        <f>'Пр. 9'!L392</f>
        <v>370.1</v>
      </c>
      <c r="L185" s="74">
        <f>'Пр. 9'!M392</f>
        <v>370.1</v>
      </c>
    </row>
    <row r="186" spans="1:12" s="5" customFormat="1" ht="42.75">
      <c r="A186" s="97" t="s">
        <v>192</v>
      </c>
      <c r="B186" s="67" t="s">
        <v>187</v>
      </c>
      <c r="C186" s="67" t="s">
        <v>132</v>
      </c>
      <c r="D186" s="67" t="s">
        <v>149</v>
      </c>
      <c r="E186" s="67" t="s">
        <v>150</v>
      </c>
      <c r="F186" s="67"/>
      <c r="G186" s="95"/>
      <c r="H186" s="36">
        <f>H187</f>
        <v>6676.3</v>
      </c>
      <c r="I186" s="36">
        <f>I187</f>
        <v>6676.3</v>
      </c>
      <c r="J186" s="96">
        <f t="shared" si="9"/>
        <v>0</v>
      </c>
      <c r="K186" s="36">
        <f>K187</f>
        <v>3458.1000000000004</v>
      </c>
      <c r="L186" s="36">
        <f>L187</f>
        <v>3529.6000000000004</v>
      </c>
    </row>
    <row r="187" spans="1:12" s="5" customFormat="1" ht="28.5">
      <c r="A187" s="97" t="s">
        <v>757</v>
      </c>
      <c r="B187" s="67" t="s">
        <v>187</v>
      </c>
      <c r="C187" s="67" t="s">
        <v>132</v>
      </c>
      <c r="D187" s="67" t="s">
        <v>147</v>
      </c>
      <c r="E187" s="67" t="s">
        <v>150</v>
      </c>
      <c r="F187" s="67"/>
      <c r="G187" s="95"/>
      <c r="H187" s="36">
        <f>H193+H188+H199+H202+H196</f>
        <v>6676.3</v>
      </c>
      <c r="I187" s="36">
        <f>I193+I188+I199+I202+I196</f>
        <v>6676.3</v>
      </c>
      <c r="J187" s="96">
        <f t="shared" si="9"/>
        <v>0</v>
      </c>
      <c r="K187" s="36">
        <f>K193+K188+K199+K202+K196</f>
        <v>3458.1000000000004</v>
      </c>
      <c r="L187" s="36">
        <f>L193+L188+L199+L202+L196</f>
        <v>3529.6000000000004</v>
      </c>
    </row>
    <row r="188" spans="1:12" s="4" customFormat="1" ht="45">
      <c r="A188" s="107" t="s">
        <v>814</v>
      </c>
      <c r="B188" s="99" t="s">
        <v>187</v>
      </c>
      <c r="C188" s="99" t="s">
        <v>132</v>
      </c>
      <c r="D188" s="99" t="s">
        <v>147</v>
      </c>
      <c r="E188" s="99" t="s">
        <v>197</v>
      </c>
      <c r="F188" s="99"/>
      <c r="G188" s="100"/>
      <c r="H188" s="74">
        <f>H189+H191</f>
        <v>1432.3999999999999</v>
      </c>
      <c r="I188" s="74">
        <f>I189+I191</f>
        <v>1432.3999999999999</v>
      </c>
      <c r="J188" s="101">
        <f t="shared" si="9"/>
        <v>0</v>
      </c>
      <c r="K188" s="74">
        <f>K189+K191</f>
        <v>432.40000000000003</v>
      </c>
      <c r="L188" s="74">
        <f>L189+L191</f>
        <v>432.40000000000003</v>
      </c>
    </row>
    <row r="189" spans="1:12" s="4" customFormat="1" ht="30">
      <c r="A189" s="107" t="s">
        <v>683</v>
      </c>
      <c r="B189" s="99" t="s">
        <v>187</v>
      </c>
      <c r="C189" s="99" t="s">
        <v>132</v>
      </c>
      <c r="D189" s="99" t="s">
        <v>147</v>
      </c>
      <c r="E189" s="99" t="s">
        <v>197</v>
      </c>
      <c r="F189" s="99" t="s">
        <v>682</v>
      </c>
      <c r="G189" s="100"/>
      <c r="H189" s="74">
        <f>H190</f>
        <v>39.6</v>
      </c>
      <c r="I189" s="74">
        <f>I190</f>
        <v>39.6</v>
      </c>
      <c r="J189" s="101">
        <f t="shared" si="9"/>
        <v>0</v>
      </c>
      <c r="K189" s="74">
        <f>K190</f>
        <v>39.6</v>
      </c>
      <c r="L189" s="74">
        <f>L190</f>
        <v>39.6</v>
      </c>
    </row>
    <row r="190" spans="1:12" s="4" customFormat="1" ht="15">
      <c r="A190" s="107" t="s">
        <v>99</v>
      </c>
      <c r="B190" s="99" t="s">
        <v>187</v>
      </c>
      <c r="C190" s="99" t="s">
        <v>132</v>
      </c>
      <c r="D190" s="99" t="s">
        <v>147</v>
      </c>
      <c r="E190" s="99" t="s">
        <v>197</v>
      </c>
      <c r="F190" s="99" t="s">
        <v>682</v>
      </c>
      <c r="G190" s="100" t="s">
        <v>100</v>
      </c>
      <c r="H190" s="74">
        <f>'Пр. 9'!I474</f>
        <v>39.6</v>
      </c>
      <c r="I190" s="74">
        <f>'Пр. 9'!J474</f>
        <v>39.6</v>
      </c>
      <c r="J190" s="101">
        <f t="shared" si="9"/>
        <v>0</v>
      </c>
      <c r="K190" s="74">
        <f>'Пр. 9'!L474</f>
        <v>39.6</v>
      </c>
      <c r="L190" s="74">
        <f>'Пр. 9'!M474</f>
        <v>39.6</v>
      </c>
    </row>
    <row r="191" spans="1:12" s="4" customFormat="1" ht="30">
      <c r="A191" s="107" t="s">
        <v>688</v>
      </c>
      <c r="B191" s="99" t="s">
        <v>187</v>
      </c>
      <c r="C191" s="99" t="s">
        <v>132</v>
      </c>
      <c r="D191" s="99" t="s">
        <v>147</v>
      </c>
      <c r="E191" s="99" t="s">
        <v>197</v>
      </c>
      <c r="F191" s="99" t="s">
        <v>689</v>
      </c>
      <c r="G191" s="100"/>
      <c r="H191" s="74">
        <f>H192</f>
        <v>1392.8</v>
      </c>
      <c r="I191" s="74">
        <f>I192</f>
        <v>1392.8</v>
      </c>
      <c r="J191" s="101">
        <f t="shared" si="9"/>
        <v>0</v>
      </c>
      <c r="K191" s="74">
        <f>K192</f>
        <v>392.8</v>
      </c>
      <c r="L191" s="74">
        <f>L192</f>
        <v>392.8</v>
      </c>
    </row>
    <row r="192" spans="1:12" s="4" customFormat="1" ht="15">
      <c r="A192" s="22" t="s">
        <v>89</v>
      </c>
      <c r="B192" s="99" t="s">
        <v>187</v>
      </c>
      <c r="C192" s="99" t="s">
        <v>132</v>
      </c>
      <c r="D192" s="99" t="s">
        <v>147</v>
      </c>
      <c r="E192" s="99" t="s">
        <v>197</v>
      </c>
      <c r="F192" s="99" t="s">
        <v>689</v>
      </c>
      <c r="G192" s="100" t="s">
        <v>90</v>
      </c>
      <c r="H192" s="74">
        <f>'Пр. 9'!I396</f>
        <v>1392.8</v>
      </c>
      <c r="I192" s="74">
        <f>'Пр. 9'!J396</f>
        <v>1392.8</v>
      </c>
      <c r="J192" s="101">
        <f t="shared" si="9"/>
        <v>0</v>
      </c>
      <c r="K192" s="74">
        <f>'Пр. 9'!L396</f>
        <v>392.8</v>
      </c>
      <c r="L192" s="74">
        <f>'Пр. 9'!M396</f>
        <v>392.8</v>
      </c>
    </row>
    <row r="193" spans="1:12" s="4" customFormat="1" ht="15">
      <c r="A193" s="107" t="s">
        <v>195</v>
      </c>
      <c r="B193" s="99" t="s">
        <v>187</v>
      </c>
      <c r="C193" s="99" t="s">
        <v>132</v>
      </c>
      <c r="D193" s="99" t="s">
        <v>147</v>
      </c>
      <c r="E193" s="99" t="s">
        <v>196</v>
      </c>
      <c r="F193" s="99"/>
      <c r="G193" s="100"/>
      <c r="H193" s="74">
        <f>H194</f>
        <v>53.6</v>
      </c>
      <c r="I193" s="74">
        <f>I194</f>
        <v>53.6</v>
      </c>
      <c r="J193" s="101">
        <f t="shared" si="9"/>
        <v>0</v>
      </c>
      <c r="K193" s="74">
        <f>K194</f>
        <v>53</v>
      </c>
      <c r="L193" s="74">
        <f>L194</f>
        <v>53</v>
      </c>
    </row>
    <row r="194" spans="1:12" s="4" customFormat="1" ht="30">
      <c r="A194" s="107" t="s">
        <v>688</v>
      </c>
      <c r="B194" s="99" t="s">
        <v>187</v>
      </c>
      <c r="C194" s="99" t="s">
        <v>132</v>
      </c>
      <c r="D194" s="99" t="s">
        <v>147</v>
      </c>
      <c r="E194" s="99" t="s">
        <v>196</v>
      </c>
      <c r="F194" s="99" t="s">
        <v>689</v>
      </c>
      <c r="G194" s="100"/>
      <c r="H194" s="74">
        <f>H195</f>
        <v>53.6</v>
      </c>
      <c r="I194" s="74">
        <f>I195</f>
        <v>53.6</v>
      </c>
      <c r="J194" s="101">
        <f t="shared" si="9"/>
        <v>0</v>
      </c>
      <c r="K194" s="74">
        <f>K195</f>
        <v>53</v>
      </c>
      <c r="L194" s="74">
        <f>L195</f>
        <v>53</v>
      </c>
    </row>
    <row r="195" spans="1:12" s="4" customFormat="1" ht="15">
      <c r="A195" s="22" t="s">
        <v>89</v>
      </c>
      <c r="B195" s="99" t="s">
        <v>187</v>
      </c>
      <c r="C195" s="99" t="s">
        <v>132</v>
      </c>
      <c r="D195" s="99" t="s">
        <v>147</v>
      </c>
      <c r="E195" s="99" t="s">
        <v>196</v>
      </c>
      <c r="F195" s="99" t="s">
        <v>689</v>
      </c>
      <c r="G195" s="100" t="s">
        <v>90</v>
      </c>
      <c r="H195" s="74">
        <f>'Пр. 9'!I398</f>
        <v>53.6</v>
      </c>
      <c r="I195" s="74">
        <f>'Пр. 9'!J398</f>
        <v>53.6</v>
      </c>
      <c r="J195" s="101">
        <f t="shared" si="9"/>
        <v>0</v>
      </c>
      <c r="K195" s="74">
        <f>'Пр. 9'!L398</f>
        <v>53</v>
      </c>
      <c r="L195" s="74">
        <f>'Пр. 9'!M398</f>
        <v>53</v>
      </c>
    </row>
    <row r="196" spans="1:12" s="4" customFormat="1" ht="15">
      <c r="A196" s="107" t="s">
        <v>1082</v>
      </c>
      <c r="B196" s="99" t="s">
        <v>187</v>
      </c>
      <c r="C196" s="99" t="s">
        <v>132</v>
      </c>
      <c r="D196" s="99" t="s">
        <v>147</v>
      </c>
      <c r="E196" s="99" t="s">
        <v>1083</v>
      </c>
      <c r="F196" s="99"/>
      <c r="G196" s="100"/>
      <c r="H196" s="74">
        <f>H197</f>
        <v>300</v>
      </c>
      <c r="I196" s="74">
        <f>I197</f>
        <v>300</v>
      </c>
      <c r="J196" s="101">
        <f t="shared" si="9"/>
        <v>0</v>
      </c>
      <c r="K196" s="74">
        <f>K197</f>
        <v>0</v>
      </c>
      <c r="L196" s="74">
        <f>L197</f>
        <v>0</v>
      </c>
    </row>
    <row r="197" spans="1:12" s="4" customFormat="1" ht="30">
      <c r="A197" s="107" t="s">
        <v>688</v>
      </c>
      <c r="B197" s="99" t="s">
        <v>187</v>
      </c>
      <c r="C197" s="99" t="s">
        <v>132</v>
      </c>
      <c r="D197" s="99" t="s">
        <v>147</v>
      </c>
      <c r="E197" s="99" t="s">
        <v>1083</v>
      </c>
      <c r="F197" s="99" t="s">
        <v>689</v>
      </c>
      <c r="G197" s="100"/>
      <c r="H197" s="74">
        <f>H198</f>
        <v>300</v>
      </c>
      <c r="I197" s="74">
        <f>I198</f>
        <v>300</v>
      </c>
      <c r="J197" s="101">
        <f t="shared" si="9"/>
        <v>0</v>
      </c>
      <c r="K197" s="74">
        <f>K198</f>
        <v>0</v>
      </c>
      <c r="L197" s="74">
        <f>L198</f>
        <v>0</v>
      </c>
    </row>
    <row r="198" spans="1:12" s="4" customFormat="1" ht="15">
      <c r="A198" s="22" t="s">
        <v>89</v>
      </c>
      <c r="B198" s="99" t="s">
        <v>187</v>
      </c>
      <c r="C198" s="99" t="s">
        <v>132</v>
      </c>
      <c r="D198" s="99" t="s">
        <v>147</v>
      </c>
      <c r="E198" s="99" t="s">
        <v>1083</v>
      </c>
      <c r="F198" s="99" t="s">
        <v>689</v>
      </c>
      <c r="G198" s="100" t="s">
        <v>90</v>
      </c>
      <c r="H198" s="74">
        <f>'Пр. 9'!I400</f>
        <v>300</v>
      </c>
      <c r="I198" s="74">
        <f>'Пр. 9'!J400</f>
        <v>300</v>
      </c>
      <c r="J198" s="101">
        <f t="shared" si="9"/>
        <v>0</v>
      </c>
      <c r="K198" s="74">
        <f>'Пр. 9'!L400</f>
        <v>0</v>
      </c>
      <c r="L198" s="74">
        <f>'Пр. 9'!M400</f>
        <v>0</v>
      </c>
    </row>
    <row r="199" spans="1:12" s="4" customFormat="1" ht="30">
      <c r="A199" s="102" t="s">
        <v>198</v>
      </c>
      <c r="B199" s="99" t="s">
        <v>187</v>
      </c>
      <c r="C199" s="99" t="s">
        <v>132</v>
      </c>
      <c r="D199" s="99" t="s">
        <v>147</v>
      </c>
      <c r="E199" s="99" t="s">
        <v>199</v>
      </c>
      <c r="F199" s="99"/>
      <c r="G199" s="100"/>
      <c r="H199" s="74">
        <f>H200</f>
        <v>4105.6</v>
      </c>
      <c r="I199" s="74">
        <f>I200</f>
        <v>4105.6</v>
      </c>
      <c r="J199" s="101">
        <f t="shared" si="9"/>
        <v>0</v>
      </c>
      <c r="K199" s="74">
        <f>K200</f>
        <v>2188</v>
      </c>
      <c r="L199" s="74">
        <f>L200</f>
        <v>2259.5</v>
      </c>
    </row>
    <row r="200" spans="1:12" s="4" customFormat="1" ht="15">
      <c r="A200" s="107" t="s">
        <v>692</v>
      </c>
      <c r="B200" s="99" t="s">
        <v>187</v>
      </c>
      <c r="C200" s="99" t="s">
        <v>132</v>
      </c>
      <c r="D200" s="99" t="s">
        <v>147</v>
      </c>
      <c r="E200" s="99" t="s">
        <v>199</v>
      </c>
      <c r="F200" s="99" t="s">
        <v>691</v>
      </c>
      <c r="G200" s="100"/>
      <c r="H200" s="74">
        <f>H201</f>
        <v>4105.6</v>
      </c>
      <c r="I200" s="74">
        <f>I201</f>
        <v>4105.6</v>
      </c>
      <c r="J200" s="101">
        <f t="shared" si="9"/>
        <v>0</v>
      </c>
      <c r="K200" s="74">
        <f>K201</f>
        <v>2188</v>
      </c>
      <c r="L200" s="74">
        <f>L201</f>
        <v>2259.5</v>
      </c>
    </row>
    <row r="201" spans="1:12" s="4" customFormat="1" ht="15">
      <c r="A201" s="107" t="s">
        <v>99</v>
      </c>
      <c r="B201" s="99" t="s">
        <v>187</v>
      </c>
      <c r="C201" s="99" t="s">
        <v>132</v>
      </c>
      <c r="D201" s="99" t="s">
        <v>147</v>
      </c>
      <c r="E201" s="99" t="s">
        <v>199</v>
      </c>
      <c r="F201" s="99" t="s">
        <v>691</v>
      </c>
      <c r="G201" s="100" t="s">
        <v>100</v>
      </c>
      <c r="H201" s="74">
        <f>'Пр. 9'!I476</f>
        <v>4105.6</v>
      </c>
      <c r="I201" s="74">
        <f>'Пр. 9'!J476</f>
        <v>4105.6</v>
      </c>
      <c r="J201" s="101">
        <f t="shared" si="9"/>
        <v>0</v>
      </c>
      <c r="K201" s="74">
        <f>'Пр. 9'!L476</f>
        <v>2188</v>
      </c>
      <c r="L201" s="74">
        <f>'Пр. 9'!M476</f>
        <v>2259.5</v>
      </c>
    </row>
    <row r="202" spans="1:12" s="4" customFormat="1" ht="30">
      <c r="A202" s="115" t="s">
        <v>725</v>
      </c>
      <c r="B202" s="99" t="s">
        <v>187</v>
      </c>
      <c r="C202" s="99" t="s">
        <v>132</v>
      </c>
      <c r="D202" s="99" t="s">
        <v>147</v>
      </c>
      <c r="E202" s="99" t="s">
        <v>726</v>
      </c>
      <c r="F202" s="99"/>
      <c r="G202" s="100"/>
      <c r="H202" s="74">
        <f>H203</f>
        <v>784.7</v>
      </c>
      <c r="I202" s="74">
        <f>I203</f>
        <v>784.7</v>
      </c>
      <c r="J202" s="101">
        <f t="shared" si="9"/>
        <v>0</v>
      </c>
      <c r="K202" s="74">
        <f>K203</f>
        <v>784.7</v>
      </c>
      <c r="L202" s="74">
        <f>L203</f>
        <v>784.7</v>
      </c>
    </row>
    <row r="203" spans="1:12" s="4" customFormat="1" ht="15">
      <c r="A203" s="115" t="s">
        <v>692</v>
      </c>
      <c r="B203" s="99" t="s">
        <v>187</v>
      </c>
      <c r="C203" s="99" t="s">
        <v>132</v>
      </c>
      <c r="D203" s="99" t="s">
        <v>147</v>
      </c>
      <c r="E203" s="99" t="s">
        <v>726</v>
      </c>
      <c r="F203" s="99" t="s">
        <v>691</v>
      </c>
      <c r="G203" s="100"/>
      <c r="H203" s="74">
        <f>H204</f>
        <v>784.7</v>
      </c>
      <c r="I203" s="74">
        <f>I204</f>
        <v>784.7</v>
      </c>
      <c r="J203" s="101">
        <f t="shared" si="9"/>
        <v>0</v>
      </c>
      <c r="K203" s="74">
        <f>K204</f>
        <v>784.7</v>
      </c>
      <c r="L203" s="74">
        <f>L204</f>
        <v>784.7</v>
      </c>
    </row>
    <row r="204" spans="1:12" s="4" customFormat="1" ht="15">
      <c r="A204" s="107" t="s">
        <v>99</v>
      </c>
      <c r="B204" s="99" t="s">
        <v>187</v>
      </c>
      <c r="C204" s="99" t="s">
        <v>132</v>
      </c>
      <c r="D204" s="99" t="s">
        <v>147</v>
      </c>
      <c r="E204" s="99" t="s">
        <v>726</v>
      </c>
      <c r="F204" s="99" t="s">
        <v>691</v>
      </c>
      <c r="G204" s="100" t="s">
        <v>100</v>
      </c>
      <c r="H204" s="74">
        <f>'Пр. 9'!I478</f>
        <v>784.7</v>
      </c>
      <c r="I204" s="74">
        <f>'Пр. 9'!J478</f>
        <v>784.7</v>
      </c>
      <c r="J204" s="101">
        <f t="shared" si="9"/>
        <v>0</v>
      </c>
      <c r="K204" s="74">
        <f>'Пр. 9'!L478</f>
        <v>784.7</v>
      </c>
      <c r="L204" s="74">
        <f>'Пр. 9'!M478</f>
        <v>784.7</v>
      </c>
    </row>
    <row r="205" spans="1:12" s="5" customFormat="1" ht="42.75">
      <c r="A205" s="97" t="s">
        <v>200</v>
      </c>
      <c r="B205" s="67" t="s">
        <v>187</v>
      </c>
      <c r="C205" s="67" t="s">
        <v>134</v>
      </c>
      <c r="D205" s="67" t="s">
        <v>149</v>
      </c>
      <c r="E205" s="67" t="s">
        <v>150</v>
      </c>
      <c r="F205" s="67"/>
      <c r="G205" s="95"/>
      <c r="H205" s="36">
        <f>H206</f>
        <v>90843.50000000001</v>
      </c>
      <c r="I205" s="36">
        <f>I206</f>
        <v>91118.90000000001</v>
      </c>
      <c r="J205" s="96">
        <f t="shared" si="9"/>
        <v>275.3999999999942</v>
      </c>
      <c r="K205" s="36">
        <f>K206</f>
        <v>89427.90000000001</v>
      </c>
      <c r="L205" s="36">
        <f>L206</f>
        <v>93799.20000000001</v>
      </c>
    </row>
    <row r="206" spans="1:12" s="5" customFormat="1" ht="42.75">
      <c r="A206" s="110" t="s">
        <v>833</v>
      </c>
      <c r="B206" s="67" t="s">
        <v>187</v>
      </c>
      <c r="C206" s="67" t="s">
        <v>134</v>
      </c>
      <c r="D206" s="67" t="s">
        <v>147</v>
      </c>
      <c r="E206" s="67" t="s">
        <v>150</v>
      </c>
      <c r="F206" s="67"/>
      <c r="G206" s="95"/>
      <c r="H206" s="36">
        <f>H207+H214+H217</f>
        <v>90843.50000000001</v>
      </c>
      <c r="I206" s="36">
        <f>I207+I214+I217</f>
        <v>91118.90000000001</v>
      </c>
      <c r="J206" s="96">
        <f t="shared" si="9"/>
        <v>275.3999999999942</v>
      </c>
      <c r="K206" s="36">
        <f>K207+K214+K217</f>
        <v>89427.90000000001</v>
      </c>
      <c r="L206" s="36">
        <f>L207+L214+L217</f>
        <v>93799.20000000001</v>
      </c>
    </row>
    <row r="207" spans="1:12" s="4" customFormat="1" ht="15">
      <c r="A207" s="22" t="s">
        <v>189</v>
      </c>
      <c r="B207" s="99" t="s">
        <v>187</v>
      </c>
      <c r="C207" s="99" t="s">
        <v>134</v>
      </c>
      <c r="D207" s="99" t="s">
        <v>147</v>
      </c>
      <c r="E207" s="99" t="s">
        <v>190</v>
      </c>
      <c r="F207" s="99"/>
      <c r="G207" s="100"/>
      <c r="H207" s="74">
        <f>H208+H210+H212</f>
        <v>4061.7</v>
      </c>
      <c r="I207" s="74">
        <f>I208+I210+I212</f>
        <v>4222.599999999999</v>
      </c>
      <c r="J207" s="101">
        <f t="shared" si="9"/>
        <v>160.89999999999964</v>
      </c>
      <c r="K207" s="74">
        <f>K208+K210+K212</f>
        <v>4470.8</v>
      </c>
      <c r="L207" s="74">
        <f>L208+L210+L212</f>
        <v>4469.8</v>
      </c>
    </row>
    <row r="208" spans="1:12" s="4" customFormat="1" ht="60">
      <c r="A208" s="107" t="s">
        <v>680</v>
      </c>
      <c r="B208" s="99" t="s">
        <v>187</v>
      </c>
      <c r="C208" s="99" t="s">
        <v>134</v>
      </c>
      <c r="D208" s="99" t="s">
        <v>147</v>
      </c>
      <c r="E208" s="99" t="s">
        <v>190</v>
      </c>
      <c r="F208" s="99" t="s">
        <v>681</v>
      </c>
      <c r="G208" s="100"/>
      <c r="H208" s="74">
        <f>H209</f>
        <v>3489</v>
      </c>
      <c r="I208" s="74">
        <f>I209</f>
        <v>3403.7</v>
      </c>
      <c r="J208" s="101">
        <f t="shared" si="9"/>
        <v>-85.30000000000018</v>
      </c>
      <c r="K208" s="74">
        <f>K209</f>
        <v>3614.4</v>
      </c>
      <c r="L208" s="74">
        <f>L209</f>
        <v>3614.4</v>
      </c>
    </row>
    <row r="209" spans="1:12" s="4" customFormat="1" ht="15">
      <c r="A209" s="107" t="s">
        <v>99</v>
      </c>
      <c r="B209" s="99" t="s">
        <v>187</v>
      </c>
      <c r="C209" s="99" t="s">
        <v>134</v>
      </c>
      <c r="D209" s="99" t="s">
        <v>147</v>
      </c>
      <c r="E209" s="99" t="s">
        <v>190</v>
      </c>
      <c r="F209" s="99" t="s">
        <v>681</v>
      </c>
      <c r="G209" s="100" t="s">
        <v>100</v>
      </c>
      <c r="H209" s="74">
        <f>'Пр. 9'!I482</f>
        <v>3489</v>
      </c>
      <c r="I209" s="74">
        <f>'Пр. 9'!J482</f>
        <v>3403.7</v>
      </c>
      <c r="J209" s="101">
        <f t="shared" si="9"/>
        <v>-85.30000000000018</v>
      </c>
      <c r="K209" s="74">
        <f>'Пр. 9'!L482</f>
        <v>3614.4</v>
      </c>
      <c r="L209" s="74">
        <f>'Пр. 9'!M482</f>
        <v>3614.4</v>
      </c>
    </row>
    <row r="210" spans="1:12" s="4" customFormat="1" ht="30">
      <c r="A210" s="107" t="s">
        <v>683</v>
      </c>
      <c r="B210" s="99" t="s">
        <v>187</v>
      </c>
      <c r="C210" s="99" t="s">
        <v>134</v>
      </c>
      <c r="D210" s="99" t="s">
        <v>147</v>
      </c>
      <c r="E210" s="99" t="s">
        <v>190</v>
      </c>
      <c r="F210" s="99" t="s">
        <v>682</v>
      </c>
      <c r="G210" s="100"/>
      <c r="H210" s="74">
        <f>H211</f>
        <v>571.7</v>
      </c>
      <c r="I210" s="74">
        <f>I211</f>
        <v>817.9</v>
      </c>
      <c r="J210" s="101">
        <f t="shared" si="9"/>
        <v>246.19999999999993</v>
      </c>
      <c r="K210" s="74">
        <f>K211</f>
        <v>855.4</v>
      </c>
      <c r="L210" s="74">
        <f>L211</f>
        <v>854.4</v>
      </c>
    </row>
    <row r="211" spans="1:12" s="4" customFormat="1" ht="15">
      <c r="A211" s="107" t="s">
        <v>99</v>
      </c>
      <c r="B211" s="99" t="s">
        <v>187</v>
      </c>
      <c r="C211" s="99" t="s">
        <v>134</v>
      </c>
      <c r="D211" s="99" t="s">
        <v>147</v>
      </c>
      <c r="E211" s="99" t="s">
        <v>190</v>
      </c>
      <c r="F211" s="99" t="s">
        <v>682</v>
      </c>
      <c r="G211" s="100" t="s">
        <v>100</v>
      </c>
      <c r="H211" s="74">
        <f>'Пр. 9'!I483</f>
        <v>571.7</v>
      </c>
      <c r="I211" s="74">
        <f>'Пр. 9'!J483</f>
        <v>817.9</v>
      </c>
      <c r="J211" s="101">
        <f t="shared" si="9"/>
        <v>246.19999999999993</v>
      </c>
      <c r="K211" s="74">
        <f>'Пр. 9'!L483</f>
        <v>855.4</v>
      </c>
      <c r="L211" s="74">
        <f>'Пр. 9'!M483</f>
        <v>854.4</v>
      </c>
    </row>
    <row r="212" spans="1:12" s="4" customFormat="1" ht="15">
      <c r="A212" s="102" t="s">
        <v>684</v>
      </c>
      <c r="B212" s="99" t="s">
        <v>187</v>
      </c>
      <c r="C212" s="99" t="s">
        <v>134</v>
      </c>
      <c r="D212" s="99" t="s">
        <v>147</v>
      </c>
      <c r="E212" s="99" t="s">
        <v>190</v>
      </c>
      <c r="F212" s="99" t="s">
        <v>685</v>
      </c>
      <c r="G212" s="100"/>
      <c r="H212" s="74">
        <f>H213</f>
        <v>1</v>
      </c>
      <c r="I212" s="74">
        <f>I213</f>
        <v>1</v>
      </c>
      <c r="J212" s="101">
        <f aca="true" t="shared" si="10" ref="J212:J278">I212-H212</f>
        <v>0</v>
      </c>
      <c r="K212" s="74">
        <f>K213</f>
        <v>1</v>
      </c>
      <c r="L212" s="74">
        <f>L213</f>
        <v>1</v>
      </c>
    </row>
    <row r="213" spans="1:12" s="4" customFormat="1" ht="15">
      <c r="A213" s="107" t="s">
        <v>99</v>
      </c>
      <c r="B213" s="99" t="s">
        <v>187</v>
      </c>
      <c r="C213" s="99" t="s">
        <v>134</v>
      </c>
      <c r="D213" s="99" t="s">
        <v>147</v>
      </c>
      <c r="E213" s="99" t="s">
        <v>190</v>
      </c>
      <c r="F213" s="99" t="s">
        <v>685</v>
      </c>
      <c r="G213" s="100" t="s">
        <v>100</v>
      </c>
      <c r="H213" s="74">
        <f>'Пр. 9'!I484</f>
        <v>1</v>
      </c>
      <c r="I213" s="74">
        <f>'Пр. 9'!J484</f>
        <v>1</v>
      </c>
      <c r="J213" s="101">
        <f t="shared" si="10"/>
        <v>0</v>
      </c>
      <c r="K213" s="74">
        <f>'Пр. 9'!L484</f>
        <v>1</v>
      </c>
      <c r="L213" s="74">
        <f>'Пр. 9'!M484</f>
        <v>1</v>
      </c>
    </row>
    <row r="214" spans="1:12" s="4" customFormat="1" ht="30">
      <c r="A214" s="102" t="s">
        <v>191</v>
      </c>
      <c r="B214" s="99" t="s">
        <v>187</v>
      </c>
      <c r="C214" s="99" t="s">
        <v>134</v>
      </c>
      <c r="D214" s="99" t="s">
        <v>147</v>
      </c>
      <c r="E214" s="99" t="s">
        <v>747</v>
      </c>
      <c r="F214" s="99"/>
      <c r="G214" s="100"/>
      <c r="H214" s="74">
        <f>H215</f>
        <v>2294.6000000000004</v>
      </c>
      <c r="I214" s="74">
        <f>I215</f>
        <v>2294.6000000000004</v>
      </c>
      <c r="J214" s="101">
        <f t="shared" si="10"/>
        <v>0</v>
      </c>
      <c r="K214" s="119">
        <f>K215</f>
        <v>1021.8</v>
      </c>
      <c r="L214" s="119">
        <f>L215</f>
        <v>1021.8</v>
      </c>
    </row>
    <row r="215" spans="1:12" s="4" customFormat="1" ht="60">
      <c r="A215" s="107" t="s">
        <v>680</v>
      </c>
      <c r="B215" s="99" t="s">
        <v>187</v>
      </c>
      <c r="C215" s="99" t="s">
        <v>134</v>
      </c>
      <c r="D215" s="99" t="s">
        <v>147</v>
      </c>
      <c r="E215" s="99" t="s">
        <v>747</v>
      </c>
      <c r="F215" s="99" t="s">
        <v>681</v>
      </c>
      <c r="G215" s="100"/>
      <c r="H215" s="74">
        <f>H216</f>
        <v>2294.6000000000004</v>
      </c>
      <c r="I215" s="74">
        <f>I216</f>
        <v>2294.6000000000004</v>
      </c>
      <c r="J215" s="101">
        <f t="shared" si="10"/>
        <v>0</v>
      </c>
      <c r="K215" s="119">
        <f>K216</f>
        <v>1021.8</v>
      </c>
      <c r="L215" s="119">
        <f>L216</f>
        <v>1021.8</v>
      </c>
    </row>
    <row r="216" spans="1:12" s="4" customFormat="1" ht="15">
      <c r="A216" s="107" t="s">
        <v>99</v>
      </c>
      <c r="B216" s="99" t="s">
        <v>187</v>
      </c>
      <c r="C216" s="99" t="s">
        <v>134</v>
      </c>
      <c r="D216" s="99" t="s">
        <v>147</v>
      </c>
      <c r="E216" s="99" t="s">
        <v>747</v>
      </c>
      <c r="F216" s="99" t="s">
        <v>681</v>
      </c>
      <c r="G216" s="100" t="s">
        <v>100</v>
      </c>
      <c r="H216" s="74">
        <f>'Пр. 9'!I486</f>
        <v>2294.6000000000004</v>
      </c>
      <c r="I216" s="74">
        <f>'Пр. 9'!J486</f>
        <v>2294.6000000000004</v>
      </c>
      <c r="J216" s="101">
        <f t="shared" si="10"/>
        <v>0</v>
      </c>
      <c r="K216" s="74">
        <f>'Пр. 9'!L486</f>
        <v>1021.8</v>
      </c>
      <c r="L216" s="74">
        <f>'Пр. 9'!M486</f>
        <v>1021.8</v>
      </c>
    </row>
    <row r="217" spans="1:12" s="4" customFormat="1" ht="30">
      <c r="A217" s="107" t="s">
        <v>193</v>
      </c>
      <c r="B217" s="99" t="s">
        <v>187</v>
      </c>
      <c r="C217" s="99" t="s">
        <v>134</v>
      </c>
      <c r="D217" s="99" t="s">
        <v>147</v>
      </c>
      <c r="E217" s="99" t="s">
        <v>194</v>
      </c>
      <c r="F217" s="99"/>
      <c r="G217" s="100"/>
      <c r="H217" s="74">
        <f>H218</f>
        <v>84487.20000000001</v>
      </c>
      <c r="I217" s="74">
        <f>I218</f>
        <v>84601.70000000001</v>
      </c>
      <c r="J217" s="101">
        <f t="shared" si="10"/>
        <v>114.5</v>
      </c>
      <c r="K217" s="74">
        <f>K218</f>
        <v>83935.3</v>
      </c>
      <c r="L217" s="74">
        <f>L218</f>
        <v>88307.6</v>
      </c>
    </row>
    <row r="218" spans="1:12" s="4" customFormat="1" ht="30">
      <c r="A218" s="102" t="s">
        <v>688</v>
      </c>
      <c r="B218" s="99" t="s">
        <v>187</v>
      </c>
      <c r="C218" s="99" t="s">
        <v>134</v>
      </c>
      <c r="D218" s="99" t="s">
        <v>147</v>
      </c>
      <c r="E218" s="99" t="s">
        <v>194</v>
      </c>
      <c r="F218" s="99" t="s">
        <v>689</v>
      </c>
      <c r="G218" s="100"/>
      <c r="H218" s="74">
        <f>H219</f>
        <v>84487.20000000001</v>
      </c>
      <c r="I218" s="74">
        <f>I219</f>
        <v>84601.70000000001</v>
      </c>
      <c r="J218" s="101">
        <f t="shared" si="10"/>
        <v>114.5</v>
      </c>
      <c r="K218" s="74">
        <f>K219</f>
        <v>83935.3</v>
      </c>
      <c r="L218" s="74">
        <f>L219</f>
        <v>88307.6</v>
      </c>
    </row>
    <row r="219" spans="1:12" s="4" customFormat="1" ht="15">
      <c r="A219" s="22" t="s">
        <v>89</v>
      </c>
      <c r="B219" s="99" t="s">
        <v>187</v>
      </c>
      <c r="C219" s="99" t="s">
        <v>134</v>
      </c>
      <c r="D219" s="99" t="s">
        <v>147</v>
      </c>
      <c r="E219" s="99" t="s">
        <v>194</v>
      </c>
      <c r="F219" s="99" t="s">
        <v>689</v>
      </c>
      <c r="G219" s="100" t="s">
        <v>90</v>
      </c>
      <c r="H219" s="74">
        <f>'Пр. 9'!I404</f>
        <v>84487.20000000001</v>
      </c>
      <c r="I219" s="74">
        <f>'Пр. 9'!J404</f>
        <v>84601.70000000001</v>
      </c>
      <c r="J219" s="101">
        <f t="shared" si="10"/>
        <v>114.5</v>
      </c>
      <c r="K219" s="74">
        <f>'Пр. 9'!L404</f>
        <v>83935.3</v>
      </c>
      <c r="L219" s="74">
        <f>'Пр. 9'!M404</f>
        <v>88307.6</v>
      </c>
    </row>
    <row r="220" spans="1:12" s="3" customFormat="1" ht="42.75">
      <c r="A220" s="110" t="s">
        <v>205</v>
      </c>
      <c r="B220" s="67" t="s">
        <v>206</v>
      </c>
      <c r="C220" s="67" t="s">
        <v>148</v>
      </c>
      <c r="D220" s="67" t="s">
        <v>149</v>
      </c>
      <c r="E220" s="67" t="s">
        <v>150</v>
      </c>
      <c r="F220" s="67"/>
      <c r="G220" s="95"/>
      <c r="H220" s="36">
        <f>H221+H246+H236+H241</f>
        <v>33768.299999999996</v>
      </c>
      <c r="I220" s="36">
        <f>I221+I246+I236+I241</f>
        <v>33768.299999999996</v>
      </c>
      <c r="J220" s="96">
        <f t="shared" si="10"/>
        <v>0</v>
      </c>
      <c r="K220" s="36">
        <f>K221+K246+K236+K241</f>
        <v>167051.4</v>
      </c>
      <c r="L220" s="36">
        <f>L221+L246+L236+L241</f>
        <v>154591.3</v>
      </c>
    </row>
    <row r="221" spans="1:12" s="5" customFormat="1" ht="28.5">
      <c r="A221" s="97" t="s">
        <v>207</v>
      </c>
      <c r="B221" s="67" t="s">
        <v>206</v>
      </c>
      <c r="C221" s="67" t="s">
        <v>131</v>
      </c>
      <c r="D221" s="67" t="s">
        <v>149</v>
      </c>
      <c r="E221" s="67" t="s">
        <v>150</v>
      </c>
      <c r="F221" s="67"/>
      <c r="G221" s="95"/>
      <c r="H221" s="36">
        <f>H222+H226</f>
        <v>4311.4</v>
      </c>
      <c r="I221" s="36">
        <f>I222+I226</f>
        <v>4311.4</v>
      </c>
      <c r="J221" s="96">
        <f t="shared" si="10"/>
        <v>0</v>
      </c>
      <c r="K221" s="36">
        <f>K222+K226</f>
        <v>4031.3999999999996</v>
      </c>
      <c r="L221" s="36">
        <f>L222+L226</f>
        <v>4131.4</v>
      </c>
    </row>
    <row r="222" spans="1:12" s="5" customFormat="1" ht="28.5">
      <c r="A222" s="97" t="s">
        <v>758</v>
      </c>
      <c r="B222" s="67" t="s">
        <v>206</v>
      </c>
      <c r="C222" s="67" t="s">
        <v>131</v>
      </c>
      <c r="D222" s="67" t="s">
        <v>147</v>
      </c>
      <c r="E222" s="67" t="s">
        <v>150</v>
      </c>
      <c r="F222" s="67"/>
      <c r="G222" s="95"/>
      <c r="H222" s="36">
        <f aca="true" t="shared" si="11" ref="H222:L224">H223</f>
        <v>371</v>
      </c>
      <c r="I222" s="36">
        <f t="shared" si="11"/>
        <v>371</v>
      </c>
      <c r="J222" s="96">
        <f t="shared" si="10"/>
        <v>0</v>
      </c>
      <c r="K222" s="36">
        <f t="shared" si="11"/>
        <v>371</v>
      </c>
      <c r="L222" s="36">
        <f t="shared" si="11"/>
        <v>371</v>
      </c>
    </row>
    <row r="223" spans="1:12" s="5" customFormat="1" ht="60">
      <c r="A223" s="107" t="s">
        <v>208</v>
      </c>
      <c r="B223" s="99" t="s">
        <v>206</v>
      </c>
      <c r="C223" s="99" t="s">
        <v>131</v>
      </c>
      <c r="D223" s="99" t="s">
        <v>147</v>
      </c>
      <c r="E223" s="99" t="s">
        <v>209</v>
      </c>
      <c r="F223" s="99"/>
      <c r="G223" s="100"/>
      <c r="H223" s="74">
        <f t="shared" si="11"/>
        <v>371</v>
      </c>
      <c r="I223" s="74">
        <f t="shared" si="11"/>
        <v>371</v>
      </c>
      <c r="J223" s="101">
        <f t="shared" si="10"/>
        <v>0</v>
      </c>
      <c r="K223" s="74">
        <f t="shared" si="11"/>
        <v>371</v>
      </c>
      <c r="L223" s="74">
        <f t="shared" si="11"/>
        <v>371</v>
      </c>
    </row>
    <row r="224" spans="1:12" s="5" customFormat="1" ht="30">
      <c r="A224" s="102" t="s">
        <v>683</v>
      </c>
      <c r="B224" s="99" t="s">
        <v>206</v>
      </c>
      <c r="C224" s="99" t="s">
        <v>131</v>
      </c>
      <c r="D224" s="99" t="s">
        <v>147</v>
      </c>
      <c r="E224" s="99" t="s">
        <v>209</v>
      </c>
      <c r="F224" s="99" t="s">
        <v>682</v>
      </c>
      <c r="G224" s="120"/>
      <c r="H224" s="74">
        <f t="shared" si="11"/>
        <v>371</v>
      </c>
      <c r="I224" s="74">
        <f t="shared" si="11"/>
        <v>371</v>
      </c>
      <c r="J224" s="101">
        <f t="shared" si="10"/>
        <v>0</v>
      </c>
      <c r="K224" s="74">
        <f t="shared" si="11"/>
        <v>371</v>
      </c>
      <c r="L224" s="74">
        <f t="shared" si="11"/>
        <v>371</v>
      </c>
    </row>
    <row r="225" spans="1:12" s="5" customFormat="1" ht="15">
      <c r="A225" s="107" t="s">
        <v>115</v>
      </c>
      <c r="B225" s="99" t="s">
        <v>206</v>
      </c>
      <c r="C225" s="99" t="s">
        <v>131</v>
      </c>
      <c r="D225" s="99" t="s">
        <v>147</v>
      </c>
      <c r="E225" s="99" t="s">
        <v>209</v>
      </c>
      <c r="F225" s="99" t="s">
        <v>682</v>
      </c>
      <c r="G225" s="100" t="s">
        <v>116</v>
      </c>
      <c r="H225" s="74">
        <f>'Пр. 9'!I561</f>
        <v>371</v>
      </c>
      <c r="I225" s="74">
        <f>'Пр. 9'!J561</f>
        <v>371</v>
      </c>
      <c r="J225" s="101">
        <f t="shared" si="10"/>
        <v>0</v>
      </c>
      <c r="K225" s="74">
        <f>'Пр. 9'!L561</f>
        <v>371</v>
      </c>
      <c r="L225" s="74">
        <f>'Пр. 9'!M561</f>
        <v>371</v>
      </c>
    </row>
    <row r="226" spans="1:12" s="5" customFormat="1" ht="28.5">
      <c r="A226" s="97" t="s">
        <v>759</v>
      </c>
      <c r="B226" s="67" t="s">
        <v>206</v>
      </c>
      <c r="C226" s="67" t="s">
        <v>131</v>
      </c>
      <c r="D226" s="67" t="s">
        <v>160</v>
      </c>
      <c r="E226" s="67" t="s">
        <v>150</v>
      </c>
      <c r="F226" s="67"/>
      <c r="G226" s="95"/>
      <c r="H226" s="36">
        <f>H227+H230+H233</f>
        <v>3940.3999999999996</v>
      </c>
      <c r="I226" s="36">
        <f>I227+I230+I233</f>
        <v>3940.3999999999996</v>
      </c>
      <c r="J226" s="96">
        <f t="shared" si="10"/>
        <v>0</v>
      </c>
      <c r="K226" s="36">
        <f>K227+K230+K233</f>
        <v>3660.3999999999996</v>
      </c>
      <c r="L226" s="36">
        <f>L227+L230+L233</f>
        <v>3760.3999999999996</v>
      </c>
    </row>
    <row r="227" spans="1:12" s="5" customFormat="1" ht="45">
      <c r="A227" s="107" t="s">
        <v>210</v>
      </c>
      <c r="B227" s="99" t="s">
        <v>206</v>
      </c>
      <c r="C227" s="99" t="s">
        <v>131</v>
      </c>
      <c r="D227" s="99" t="s">
        <v>160</v>
      </c>
      <c r="E227" s="99" t="s">
        <v>211</v>
      </c>
      <c r="F227" s="120"/>
      <c r="G227" s="99"/>
      <c r="H227" s="74">
        <f>H228</f>
        <v>1484.6</v>
      </c>
      <c r="I227" s="74">
        <f>I228</f>
        <v>1484.6</v>
      </c>
      <c r="J227" s="101">
        <f t="shared" si="10"/>
        <v>0</v>
      </c>
      <c r="K227" s="74">
        <f>K228</f>
        <v>1384.6</v>
      </c>
      <c r="L227" s="74">
        <f>L228</f>
        <v>1484.6</v>
      </c>
    </row>
    <row r="228" spans="1:12" s="5" customFormat="1" ht="30">
      <c r="A228" s="102" t="s">
        <v>683</v>
      </c>
      <c r="B228" s="99" t="s">
        <v>206</v>
      </c>
      <c r="C228" s="99" t="s">
        <v>131</v>
      </c>
      <c r="D228" s="99" t="s">
        <v>160</v>
      </c>
      <c r="E228" s="99" t="s">
        <v>211</v>
      </c>
      <c r="F228" s="99" t="s">
        <v>682</v>
      </c>
      <c r="G228" s="120"/>
      <c r="H228" s="74">
        <f>H229</f>
        <v>1484.6</v>
      </c>
      <c r="I228" s="74">
        <f>I229</f>
        <v>1484.6</v>
      </c>
      <c r="J228" s="101">
        <f t="shared" si="10"/>
        <v>0</v>
      </c>
      <c r="K228" s="74">
        <f>K229</f>
        <v>1384.6</v>
      </c>
      <c r="L228" s="74">
        <f>L229</f>
        <v>1484.6</v>
      </c>
    </row>
    <row r="229" spans="1:12" s="5" customFormat="1" ht="15">
      <c r="A229" s="107" t="s">
        <v>115</v>
      </c>
      <c r="B229" s="99" t="s">
        <v>206</v>
      </c>
      <c r="C229" s="99" t="s">
        <v>131</v>
      </c>
      <c r="D229" s="99" t="s">
        <v>160</v>
      </c>
      <c r="E229" s="99" t="s">
        <v>211</v>
      </c>
      <c r="F229" s="99" t="s">
        <v>682</v>
      </c>
      <c r="G229" s="100" t="s">
        <v>116</v>
      </c>
      <c r="H229" s="74">
        <f>'Пр. 9'!I564</f>
        <v>1484.6</v>
      </c>
      <c r="I229" s="74">
        <f>'Пр. 9'!J564</f>
        <v>1484.6</v>
      </c>
      <c r="J229" s="101">
        <f t="shared" si="10"/>
        <v>0</v>
      </c>
      <c r="K229" s="74">
        <f>'Пр. 9'!L564</f>
        <v>1384.6</v>
      </c>
      <c r="L229" s="74">
        <f>'Пр. 9'!M564</f>
        <v>1484.6</v>
      </c>
    </row>
    <row r="230" spans="1:12" s="5" customFormat="1" ht="30">
      <c r="A230" s="107" t="s">
        <v>212</v>
      </c>
      <c r="B230" s="99" t="s">
        <v>206</v>
      </c>
      <c r="C230" s="99" t="s">
        <v>131</v>
      </c>
      <c r="D230" s="99" t="s">
        <v>160</v>
      </c>
      <c r="E230" s="99" t="s">
        <v>213</v>
      </c>
      <c r="F230" s="99"/>
      <c r="G230" s="100"/>
      <c r="H230" s="74">
        <f>H231</f>
        <v>137.8</v>
      </c>
      <c r="I230" s="74">
        <f>I231</f>
        <v>137.8</v>
      </c>
      <c r="J230" s="101">
        <f t="shared" si="10"/>
        <v>0</v>
      </c>
      <c r="K230" s="74">
        <f>K231</f>
        <v>137.8</v>
      </c>
      <c r="L230" s="74">
        <f>L231</f>
        <v>137.8</v>
      </c>
    </row>
    <row r="231" spans="1:12" s="5" customFormat="1" ht="30">
      <c r="A231" s="102" t="s">
        <v>683</v>
      </c>
      <c r="B231" s="99" t="s">
        <v>206</v>
      </c>
      <c r="C231" s="99" t="s">
        <v>131</v>
      </c>
      <c r="D231" s="99" t="s">
        <v>160</v>
      </c>
      <c r="E231" s="99" t="s">
        <v>213</v>
      </c>
      <c r="F231" s="99" t="s">
        <v>682</v>
      </c>
      <c r="G231" s="120"/>
      <c r="H231" s="74">
        <f>H232</f>
        <v>137.8</v>
      </c>
      <c r="I231" s="74">
        <f>I232</f>
        <v>137.8</v>
      </c>
      <c r="J231" s="101">
        <f t="shared" si="10"/>
        <v>0</v>
      </c>
      <c r="K231" s="74">
        <f>K232</f>
        <v>137.8</v>
      </c>
      <c r="L231" s="74">
        <f>L232</f>
        <v>137.8</v>
      </c>
    </row>
    <row r="232" spans="1:12" s="5" customFormat="1" ht="15">
      <c r="A232" s="107" t="s">
        <v>115</v>
      </c>
      <c r="B232" s="99" t="s">
        <v>206</v>
      </c>
      <c r="C232" s="99" t="s">
        <v>131</v>
      </c>
      <c r="D232" s="99" t="s">
        <v>160</v>
      </c>
      <c r="E232" s="99" t="s">
        <v>213</v>
      </c>
      <c r="F232" s="99" t="s">
        <v>682</v>
      </c>
      <c r="G232" s="100" t="s">
        <v>116</v>
      </c>
      <c r="H232" s="74">
        <f>'Пр. 9'!I566</f>
        <v>137.8</v>
      </c>
      <c r="I232" s="74">
        <f>'Пр. 9'!J566</f>
        <v>137.8</v>
      </c>
      <c r="J232" s="101">
        <f t="shared" si="10"/>
        <v>0</v>
      </c>
      <c r="K232" s="74">
        <f>'Пр. 9'!L566</f>
        <v>137.8</v>
      </c>
      <c r="L232" s="74">
        <f>'Пр. 9'!M566</f>
        <v>137.8</v>
      </c>
    </row>
    <row r="233" spans="1:12" s="5" customFormat="1" ht="45">
      <c r="A233" s="107" t="s">
        <v>214</v>
      </c>
      <c r="B233" s="99" t="s">
        <v>206</v>
      </c>
      <c r="C233" s="99" t="s">
        <v>131</v>
      </c>
      <c r="D233" s="99" t="s">
        <v>160</v>
      </c>
      <c r="E233" s="99" t="s">
        <v>215</v>
      </c>
      <c r="F233" s="99"/>
      <c r="G233" s="100"/>
      <c r="H233" s="74">
        <f aca="true" t="shared" si="12" ref="H233:L234">H234</f>
        <v>2318</v>
      </c>
      <c r="I233" s="74">
        <f t="shared" si="12"/>
        <v>2318</v>
      </c>
      <c r="J233" s="101">
        <f t="shared" si="10"/>
        <v>0</v>
      </c>
      <c r="K233" s="74">
        <f t="shared" si="12"/>
        <v>2138</v>
      </c>
      <c r="L233" s="74">
        <f t="shared" si="12"/>
        <v>2138</v>
      </c>
    </row>
    <row r="234" spans="1:12" s="5" customFormat="1" ht="15">
      <c r="A234" s="22" t="s">
        <v>690</v>
      </c>
      <c r="B234" s="99" t="s">
        <v>206</v>
      </c>
      <c r="C234" s="99" t="s">
        <v>131</v>
      </c>
      <c r="D234" s="99" t="s">
        <v>160</v>
      </c>
      <c r="E234" s="99" t="s">
        <v>215</v>
      </c>
      <c r="F234" s="99" t="s">
        <v>691</v>
      </c>
      <c r="G234" s="100"/>
      <c r="H234" s="74">
        <f t="shared" si="12"/>
        <v>2318</v>
      </c>
      <c r="I234" s="74">
        <f t="shared" si="12"/>
        <v>2318</v>
      </c>
      <c r="J234" s="101">
        <f t="shared" si="10"/>
        <v>0</v>
      </c>
      <c r="K234" s="74">
        <f t="shared" si="12"/>
        <v>2138</v>
      </c>
      <c r="L234" s="74">
        <f t="shared" si="12"/>
        <v>2138</v>
      </c>
    </row>
    <row r="235" spans="1:12" s="5" customFormat="1" ht="15">
      <c r="A235" s="107" t="s">
        <v>115</v>
      </c>
      <c r="B235" s="99" t="s">
        <v>206</v>
      </c>
      <c r="C235" s="99" t="s">
        <v>131</v>
      </c>
      <c r="D235" s="99" t="s">
        <v>160</v>
      </c>
      <c r="E235" s="99" t="s">
        <v>215</v>
      </c>
      <c r="F235" s="99" t="s">
        <v>691</v>
      </c>
      <c r="G235" s="100" t="s">
        <v>116</v>
      </c>
      <c r="H235" s="74">
        <f>'Пр. 9'!I568</f>
        <v>2318</v>
      </c>
      <c r="I235" s="74">
        <f>'Пр. 9'!J568</f>
        <v>2318</v>
      </c>
      <c r="J235" s="101">
        <f t="shared" si="10"/>
        <v>0</v>
      </c>
      <c r="K235" s="74">
        <f>'Пр. 9'!L568</f>
        <v>2138</v>
      </c>
      <c r="L235" s="74">
        <f>'Пр. 9'!M568</f>
        <v>2138</v>
      </c>
    </row>
    <row r="236" spans="1:12" s="5" customFormat="1" ht="42.75" hidden="1">
      <c r="A236" s="97" t="s">
        <v>216</v>
      </c>
      <c r="B236" s="67" t="s">
        <v>206</v>
      </c>
      <c r="C236" s="67" t="s">
        <v>132</v>
      </c>
      <c r="D236" s="67" t="s">
        <v>149</v>
      </c>
      <c r="E236" s="67" t="s">
        <v>150</v>
      </c>
      <c r="F236" s="67"/>
      <c r="G236" s="95"/>
      <c r="H236" s="36">
        <f aca="true" t="shared" si="13" ref="H236:I239">H237</f>
        <v>0</v>
      </c>
      <c r="I236" s="36">
        <f t="shared" si="13"/>
        <v>0</v>
      </c>
      <c r="J236" s="96">
        <f t="shared" si="10"/>
        <v>0</v>
      </c>
      <c r="K236" s="36">
        <f aca="true" t="shared" si="14" ref="K236:L239">K237</f>
        <v>0</v>
      </c>
      <c r="L236" s="36">
        <f t="shared" si="14"/>
        <v>0</v>
      </c>
    </row>
    <row r="237" spans="1:12" s="5" customFormat="1" ht="28.5" hidden="1">
      <c r="A237" s="97" t="s">
        <v>927</v>
      </c>
      <c r="B237" s="67" t="s">
        <v>206</v>
      </c>
      <c r="C237" s="67" t="s">
        <v>132</v>
      </c>
      <c r="D237" s="67" t="s">
        <v>147</v>
      </c>
      <c r="E237" s="67" t="s">
        <v>150</v>
      </c>
      <c r="F237" s="67"/>
      <c r="G237" s="95"/>
      <c r="H237" s="36">
        <f t="shared" si="13"/>
        <v>0</v>
      </c>
      <c r="I237" s="36">
        <f t="shared" si="13"/>
        <v>0</v>
      </c>
      <c r="J237" s="96">
        <f t="shared" si="10"/>
        <v>0</v>
      </c>
      <c r="K237" s="36">
        <f t="shared" si="14"/>
        <v>0</v>
      </c>
      <c r="L237" s="36">
        <f t="shared" si="14"/>
        <v>0</v>
      </c>
    </row>
    <row r="238" spans="1:12" s="4" customFormat="1" ht="30" hidden="1">
      <c r="A238" s="107" t="s">
        <v>217</v>
      </c>
      <c r="B238" s="99" t="s">
        <v>206</v>
      </c>
      <c r="C238" s="99" t="s">
        <v>132</v>
      </c>
      <c r="D238" s="99" t="s">
        <v>147</v>
      </c>
      <c r="E238" s="99" t="s">
        <v>218</v>
      </c>
      <c r="F238" s="99"/>
      <c r="G238" s="100"/>
      <c r="H238" s="74">
        <f t="shared" si="13"/>
        <v>0</v>
      </c>
      <c r="I238" s="74">
        <f t="shared" si="13"/>
        <v>0</v>
      </c>
      <c r="J238" s="96">
        <f t="shared" si="10"/>
        <v>0</v>
      </c>
      <c r="K238" s="74">
        <f t="shared" si="14"/>
        <v>0</v>
      </c>
      <c r="L238" s="74">
        <f t="shared" si="14"/>
        <v>0</v>
      </c>
    </row>
    <row r="239" spans="1:12" s="4" customFormat="1" ht="30" hidden="1">
      <c r="A239" s="107" t="s">
        <v>688</v>
      </c>
      <c r="B239" s="99" t="s">
        <v>206</v>
      </c>
      <c r="C239" s="99" t="s">
        <v>132</v>
      </c>
      <c r="D239" s="99" t="s">
        <v>147</v>
      </c>
      <c r="E239" s="99" t="s">
        <v>218</v>
      </c>
      <c r="F239" s="99" t="s">
        <v>689</v>
      </c>
      <c r="G239" s="100"/>
      <c r="H239" s="74">
        <f t="shared" si="13"/>
        <v>0</v>
      </c>
      <c r="I239" s="74">
        <f t="shared" si="13"/>
        <v>0</v>
      </c>
      <c r="J239" s="96">
        <f t="shared" si="10"/>
        <v>0</v>
      </c>
      <c r="K239" s="74">
        <f t="shared" si="14"/>
        <v>0</v>
      </c>
      <c r="L239" s="74">
        <f t="shared" si="14"/>
        <v>0</v>
      </c>
    </row>
    <row r="240" spans="1:12" s="4" customFormat="1" ht="15" hidden="1">
      <c r="A240" s="107" t="s">
        <v>115</v>
      </c>
      <c r="B240" s="99" t="s">
        <v>206</v>
      </c>
      <c r="C240" s="99" t="s">
        <v>132</v>
      </c>
      <c r="D240" s="99" t="s">
        <v>147</v>
      </c>
      <c r="E240" s="99" t="s">
        <v>218</v>
      </c>
      <c r="F240" s="99" t="s">
        <v>689</v>
      </c>
      <c r="G240" s="100" t="s">
        <v>116</v>
      </c>
      <c r="H240" s="74">
        <f>'Пр. 9'!I1072</f>
        <v>0</v>
      </c>
      <c r="I240" s="74">
        <f>'Пр. 9'!J1072</f>
        <v>0</v>
      </c>
      <c r="J240" s="96">
        <f t="shared" si="10"/>
        <v>0</v>
      </c>
      <c r="K240" s="74">
        <f>'Пр. 9'!L1072</f>
        <v>0</v>
      </c>
      <c r="L240" s="74">
        <f>'Пр. 9'!M1072</f>
        <v>0</v>
      </c>
    </row>
    <row r="241" spans="1:12" s="5" customFormat="1" ht="51" customHeight="1">
      <c r="A241" s="97" t="s">
        <v>219</v>
      </c>
      <c r="B241" s="67" t="s">
        <v>206</v>
      </c>
      <c r="C241" s="67" t="s">
        <v>134</v>
      </c>
      <c r="D241" s="67" t="s">
        <v>149</v>
      </c>
      <c r="E241" s="67" t="s">
        <v>150</v>
      </c>
      <c r="F241" s="67"/>
      <c r="G241" s="95"/>
      <c r="H241" s="36">
        <f aca="true" t="shared" si="15" ref="H241:L244">H242</f>
        <v>21</v>
      </c>
      <c r="I241" s="36">
        <f t="shared" si="15"/>
        <v>21</v>
      </c>
      <c r="J241" s="96">
        <f t="shared" si="10"/>
        <v>0</v>
      </c>
      <c r="K241" s="36">
        <f t="shared" si="15"/>
        <v>21</v>
      </c>
      <c r="L241" s="36">
        <f t="shared" si="15"/>
        <v>21</v>
      </c>
    </row>
    <row r="242" spans="1:12" s="5" customFormat="1" ht="28.5">
      <c r="A242" s="97" t="s">
        <v>760</v>
      </c>
      <c r="B242" s="67" t="s">
        <v>206</v>
      </c>
      <c r="C242" s="67" t="s">
        <v>134</v>
      </c>
      <c r="D242" s="67" t="s">
        <v>147</v>
      </c>
      <c r="E242" s="67" t="s">
        <v>150</v>
      </c>
      <c r="F242" s="67"/>
      <c r="G242" s="95"/>
      <c r="H242" s="36">
        <f t="shared" si="15"/>
        <v>21</v>
      </c>
      <c r="I242" s="36">
        <f t="shared" si="15"/>
        <v>21</v>
      </c>
      <c r="J242" s="96">
        <f t="shared" si="10"/>
        <v>0</v>
      </c>
      <c r="K242" s="36">
        <f t="shared" si="15"/>
        <v>21</v>
      </c>
      <c r="L242" s="36">
        <f t="shared" si="15"/>
        <v>21</v>
      </c>
    </row>
    <row r="243" spans="1:12" s="4" customFormat="1" ht="53.25" customHeight="1">
      <c r="A243" s="107" t="s">
        <v>952</v>
      </c>
      <c r="B243" s="99" t="s">
        <v>206</v>
      </c>
      <c r="C243" s="99" t="s">
        <v>134</v>
      </c>
      <c r="D243" s="99" t="s">
        <v>147</v>
      </c>
      <c r="E243" s="99" t="s">
        <v>220</v>
      </c>
      <c r="F243" s="99"/>
      <c r="G243" s="100"/>
      <c r="H243" s="74">
        <f t="shared" si="15"/>
        <v>21</v>
      </c>
      <c r="I243" s="74">
        <f t="shared" si="15"/>
        <v>21</v>
      </c>
      <c r="J243" s="101">
        <f t="shared" si="10"/>
        <v>0</v>
      </c>
      <c r="K243" s="74">
        <f t="shared" si="15"/>
        <v>21</v>
      </c>
      <c r="L243" s="74">
        <f t="shared" si="15"/>
        <v>21</v>
      </c>
    </row>
    <row r="244" spans="1:12" s="4" customFormat="1" ht="30">
      <c r="A244" s="107" t="s">
        <v>688</v>
      </c>
      <c r="B244" s="99" t="s">
        <v>206</v>
      </c>
      <c r="C244" s="99" t="s">
        <v>134</v>
      </c>
      <c r="D244" s="99" t="s">
        <v>147</v>
      </c>
      <c r="E244" s="99" t="s">
        <v>220</v>
      </c>
      <c r="F244" s="99" t="s">
        <v>689</v>
      </c>
      <c r="G244" s="100"/>
      <c r="H244" s="74">
        <f t="shared" si="15"/>
        <v>21</v>
      </c>
      <c r="I244" s="74">
        <f t="shared" si="15"/>
        <v>21</v>
      </c>
      <c r="J244" s="101">
        <f t="shared" si="10"/>
        <v>0</v>
      </c>
      <c r="K244" s="74">
        <f t="shared" si="15"/>
        <v>21</v>
      </c>
      <c r="L244" s="74">
        <f t="shared" si="15"/>
        <v>21</v>
      </c>
    </row>
    <row r="245" spans="1:12" s="4" customFormat="1" ht="15">
      <c r="A245" s="107" t="s">
        <v>115</v>
      </c>
      <c r="B245" s="99" t="s">
        <v>206</v>
      </c>
      <c r="C245" s="99" t="s">
        <v>134</v>
      </c>
      <c r="D245" s="99" t="s">
        <v>147</v>
      </c>
      <c r="E245" s="99" t="s">
        <v>220</v>
      </c>
      <c r="F245" s="99" t="s">
        <v>689</v>
      </c>
      <c r="G245" s="100" t="s">
        <v>116</v>
      </c>
      <c r="H245" s="74">
        <f>'Пр. 9'!I1076</f>
        <v>21</v>
      </c>
      <c r="I245" s="74">
        <f>'Пр. 9'!J1076</f>
        <v>21</v>
      </c>
      <c r="J245" s="101">
        <f t="shared" si="10"/>
        <v>0</v>
      </c>
      <c r="K245" s="74">
        <f>'Пр. 9'!L1076</f>
        <v>21</v>
      </c>
      <c r="L245" s="74">
        <f>'Пр. 9'!M1076</f>
        <v>21</v>
      </c>
    </row>
    <row r="246" spans="1:12" s="5" customFormat="1" ht="28.5">
      <c r="A246" s="97" t="s">
        <v>221</v>
      </c>
      <c r="B246" s="67" t="s">
        <v>206</v>
      </c>
      <c r="C246" s="67" t="s">
        <v>135</v>
      </c>
      <c r="D246" s="67" t="s">
        <v>149</v>
      </c>
      <c r="E246" s="67" t="s">
        <v>150</v>
      </c>
      <c r="F246" s="67"/>
      <c r="G246" s="95"/>
      <c r="H246" s="121">
        <f>H247</f>
        <v>29435.899999999998</v>
      </c>
      <c r="I246" s="121">
        <f>I247</f>
        <v>29435.899999999998</v>
      </c>
      <c r="J246" s="96">
        <f t="shared" si="10"/>
        <v>0</v>
      </c>
      <c r="K246" s="121">
        <f aca="true" t="shared" si="16" ref="K246:L249">K247</f>
        <v>162999</v>
      </c>
      <c r="L246" s="121">
        <f t="shared" si="16"/>
        <v>150438.9</v>
      </c>
    </row>
    <row r="247" spans="1:12" s="5" customFormat="1" ht="57">
      <c r="A247" s="116" t="s">
        <v>762</v>
      </c>
      <c r="B247" s="67" t="s">
        <v>206</v>
      </c>
      <c r="C247" s="67" t="s">
        <v>135</v>
      </c>
      <c r="D247" s="67" t="s">
        <v>147</v>
      </c>
      <c r="E247" s="67" t="s">
        <v>150</v>
      </c>
      <c r="F247" s="67"/>
      <c r="G247" s="95"/>
      <c r="H247" s="121">
        <f>H248+H251</f>
        <v>29435.899999999998</v>
      </c>
      <c r="I247" s="121">
        <f>I248+I251</f>
        <v>29435.899999999998</v>
      </c>
      <c r="J247" s="96">
        <f t="shared" si="10"/>
        <v>0</v>
      </c>
      <c r="K247" s="121">
        <f>K248+K251</f>
        <v>162999</v>
      </c>
      <c r="L247" s="121">
        <f>L248+L251</f>
        <v>150438.9</v>
      </c>
    </row>
    <row r="248" spans="1:12" s="4" customFormat="1" ht="24.75" customHeight="1">
      <c r="A248" s="102" t="s">
        <v>372</v>
      </c>
      <c r="B248" s="99" t="s">
        <v>206</v>
      </c>
      <c r="C248" s="99" t="s">
        <v>135</v>
      </c>
      <c r="D248" s="99" t="s">
        <v>147</v>
      </c>
      <c r="E248" s="99" t="s">
        <v>373</v>
      </c>
      <c r="F248" s="99"/>
      <c r="G248" s="100"/>
      <c r="H248" s="119">
        <f>H249</f>
        <v>172.1</v>
      </c>
      <c r="I248" s="119">
        <f>I249</f>
        <v>172.1</v>
      </c>
      <c r="J248" s="101">
        <f t="shared" si="10"/>
        <v>0</v>
      </c>
      <c r="K248" s="119">
        <f t="shared" si="16"/>
        <v>0</v>
      </c>
      <c r="L248" s="119">
        <f t="shared" si="16"/>
        <v>0</v>
      </c>
    </row>
    <row r="249" spans="1:12" s="4" customFormat="1" ht="34.5" customHeight="1">
      <c r="A249" s="102" t="s">
        <v>696</v>
      </c>
      <c r="B249" s="99" t="s">
        <v>206</v>
      </c>
      <c r="C249" s="99" t="s">
        <v>135</v>
      </c>
      <c r="D249" s="99" t="s">
        <v>147</v>
      </c>
      <c r="E249" s="99" t="s">
        <v>373</v>
      </c>
      <c r="F249" s="99" t="s">
        <v>693</v>
      </c>
      <c r="G249" s="100"/>
      <c r="H249" s="119">
        <f>H250</f>
        <v>172.1</v>
      </c>
      <c r="I249" s="119">
        <f>I250</f>
        <v>172.1</v>
      </c>
      <c r="J249" s="101">
        <f t="shared" si="10"/>
        <v>0</v>
      </c>
      <c r="K249" s="119">
        <f t="shared" si="16"/>
        <v>0</v>
      </c>
      <c r="L249" s="119">
        <f t="shared" si="16"/>
        <v>0</v>
      </c>
    </row>
    <row r="250" spans="1:12" s="4" customFormat="1" ht="17.25" customHeight="1">
      <c r="A250" s="102" t="s">
        <v>117</v>
      </c>
      <c r="B250" s="99" t="s">
        <v>206</v>
      </c>
      <c r="C250" s="99" t="s">
        <v>135</v>
      </c>
      <c r="D250" s="99" t="s">
        <v>147</v>
      </c>
      <c r="E250" s="99" t="s">
        <v>373</v>
      </c>
      <c r="F250" s="99" t="s">
        <v>693</v>
      </c>
      <c r="G250" s="100" t="s">
        <v>118</v>
      </c>
      <c r="H250" s="119">
        <f>'Пр. 9'!I574</f>
        <v>172.1</v>
      </c>
      <c r="I250" s="119">
        <f>'Пр. 9'!J574</f>
        <v>172.1</v>
      </c>
      <c r="J250" s="101">
        <f t="shared" si="10"/>
        <v>0</v>
      </c>
      <c r="K250" s="119">
        <f>'Пр. 9'!L574</f>
        <v>0</v>
      </c>
      <c r="L250" s="119">
        <f>'Пр. 9'!M574</f>
        <v>0</v>
      </c>
    </row>
    <row r="251" spans="1:12" s="4" customFormat="1" ht="30">
      <c r="A251" s="102" t="s">
        <v>1039</v>
      </c>
      <c r="B251" s="100" t="s">
        <v>206</v>
      </c>
      <c r="C251" s="100" t="s">
        <v>135</v>
      </c>
      <c r="D251" s="99" t="s">
        <v>147</v>
      </c>
      <c r="E251" s="100" t="s">
        <v>1038</v>
      </c>
      <c r="F251" s="131"/>
      <c r="G251" s="100"/>
      <c r="H251" s="119">
        <f aca="true" t="shared" si="17" ref="H251:L252">H252</f>
        <v>29263.8</v>
      </c>
      <c r="I251" s="119">
        <f t="shared" si="17"/>
        <v>29263.8</v>
      </c>
      <c r="J251" s="101">
        <f t="shared" si="10"/>
        <v>0</v>
      </c>
      <c r="K251" s="119">
        <f t="shared" si="17"/>
        <v>162999</v>
      </c>
      <c r="L251" s="119">
        <f t="shared" si="17"/>
        <v>150438.9</v>
      </c>
    </row>
    <row r="252" spans="1:12" s="4" customFormat="1" ht="30">
      <c r="A252" s="102" t="s">
        <v>696</v>
      </c>
      <c r="B252" s="100" t="s">
        <v>206</v>
      </c>
      <c r="C252" s="100" t="s">
        <v>135</v>
      </c>
      <c r="D252" s="99" t="s">
        <v>147</v>
      </c>
      <c r="E252" s="100" t="s">
        <v>1038</v>
      </c>
      <c r="F252" s="131">
        <v>400</v>
      </c>
      <c r="G252" s="100"/>
      <c r="H252" s="119">
        <f t="shared" si="17"/>
        <v>29263.8</v>
      </c>
      <c r="I252" s="119">
        <f t="shared" si="17"/>
        <v>29263.8</v>
      </c>
      <c r="J252" s="101">
        <f t="shared" si="10"/>
        <v>0</v>
      </c>
      <c r="K252" s="119">
        <f t="shared" si="17"/>
        <v>162999</v>
      </c>
      <c r="L252" s="119">
        <f t="shared" si="17"/>
        <v>150438.9</v>
      </c>
    </row>
    <row r="253" spans="1:12" s="4" customFormat="1" ht="15">
      <c r="A253" s="102" t="s">
        <v>117</v>
      </c>
      <c r="B253" s="100" t="s">
        <v>206</v>
      </c>
      <c r="C253" s="100" t="s">
        <v>135</v>
      </c>
      <c r="D253" s="99" t="s">
        <v>147</v>
      </c>
      <c r="E253" s="100" t="s">
        <v>1038</v>
      </c>
      <c r="F253" s="131">
        <v>400</v>
      </c>
      <c r="G253" s="100" t="s">
        <v>118</v>
      </c>
      <c r="H253" s="119">
        <f>'Пр. 9'!I576</f>
        <v>29263.8</v>
      </c>
      <c r="I253" s="119">
        <f>'Пр. 9'!J576</f>
        <v>29263.8</v>
      </c>
      <c r="J253" s="101">
        <f t="shared" si="10"/>
        <v>0</v>
      </c>
      <c r="K253" s="119">
        <f>'Пр. 9'!L576</f>
        <v>162999</v>
      </c>
      <c r="L253" s="119">
        <f>'Пр. 9'!M576</f>
        <v>150438.9</v>
      </c>
    </row>
    <row r="254" spans="1:12" s="5" customFormat="1" ht="42.75">
      <c r="A254" s="110" t="s">
        <v>222</v>
      </c>
      <c r="B254" s="67" t="s">
        <v>223</v>
      </c>
      <c r="C254" s="67" t="s">
        <v>148</v>
      </c>
      <c r="D254" s="67" t="s">
        <v>149</v>
      </c>
      <c r="E254" s="67" t="s">
        <v>150</v>
      </c>
      <c r="F254" s="67"/>
      <c r="G254" s="95"/>
      <c r="H254" s="36">
        <f>H255+H301+H387+H421+H434+H454+H466</f>
        <v>2250702.9000000004</v>
      </c>
      <c r="I254" s="36">
        <f>I255+I301+I387+I421+I434+I454+I466</f>
        <v>2275743.9000000004</v>
      </c>
      <c r="J254" s="96">
        <f t="shared" si="10"/>
        <v>25041</v>
      </c>
      <c r="K254" s="36">
        <f>K255+K301+K387+K421+K434+K454+K466</f>
        <v>2067559.6500000004</v>
      </c>
      <c r="L254" s="36">
        <f>L255+L301+L387+L421+L434+L454+L466</f>
        <v>2043507.0000000002</v>
      </c>
    </row>
    <row r="255" spans="1:12" s="5" customFormat="1" ht="28.5">
      <c r="A255" s="97" t="s">
        <v>138</v>
      </c>
      <c r="B255" s="67" t="s">
        <v>223</v>
      </c>
      <c r="C255" s="67" t="s">
        <v>131</v>
      </c>
      <c r="D255" s="67" t="s">
        <v>149</v>
      </c>
      <c r="E255" s="67" t="s">
        <v>150</v>
      </c>
      <c r="F255" s="67"/>
      <c r="G255" s="95"/>
      <c r="H255" s="36">
        <f>H256+H276</f>
        <v>790765.0000000001</v>
      </c>
      <c r="I255" s="36">
        <f>I256+I276</f>
        <v>800640.4</v>
      </c>
      <c r="J255" s="96">
        <f t="shared" si="10"/>
        <v>9875.399999999907</v>
      </c>
      <c r="K255" s="36">
        <f>K256+K276</f>
        <v>720392.3500000001</v>
      </c>
      <c r="L255" s="36">
        <f>L256+L276</f>
        <v>726914.2000000001</v>
      </c>
    </row>
    <row r="256" spans="1:12" s="9" customFormat="1" ht="28.5">
      <c r="A256" s="116" t="s">
        <v>224</v>
      </c>
      <c r="B256" s="67" t="s">
        <v>223</v>
      </c>
      <c r="C256" s="94">
        <v>1</v>
      </c>
      <c r="D256" s="67" t="s">
        <v>147</v>
      </c>
      <c r="E256" s="95" t="s">
        <v>150</v>
      </c>
      <c r="F256" s="94"/>
      <c r="G256" s="95"/>
      <c r="H256" s="36">
        <f>H257+H260+H263+H269+H266</f>
        <v>727306.2000000001</v>
      </c>
      <c r="I256" s="36">
        <f>I257+I260+I263+I269+I266</f>
        <v>736384.2000000001</v>
      </c>
      <c r="J256" s="96">
        <f t="shared" si="10"/>
        <v>9078</v>
      </c>
      <c r="K256" s="36">
        <f>K257+K260+K263+K269+K266</f>
        <v>698870.6000000001</v>
      </c>
      <c r="L256" s="36">
        <f>L257+L260+L263+L269+L266</f>
        <v>721820.4</v>
      </c>
    </row>
    <row r="257" spans="1:12" ht="30">
      <c r="A257" s="102" t="s">
        <v>193</v>
      </c>
      <c r="B257" s="99" t="s">
        <v>223</v>
      </c>
      <c r="C257" s="117">
        <v>1</v>
      </c>
      <c r="D257" s="99" t="s">
        <v>147</v>
      </c>
      <c r="E257" s="100" t="s">
        <v>194</v>
      </c>
      <c r="F257" s="117"/>
      <c r="G257" s="100"/>
      <c r="H257" s="74">
        <f>H258</f>
        <v>158340.40000000002</v>
      </c>
      <c r="I257" s="74">
        <f>I258</f>
        <v>167418.40000000002</v>
      </c>
      <c r="J257" s="101">
        <f t="shared" si="10"/>
        <v>9078</v>
      </c>
      <c r="K257" s="74">
        <f>K258</f>
        <v>151101.5</v>
      </c>
      <c r="L257" s="74">
        <f>L258</f>
        <v>153076.5</v>
      </c>
    </row>
    <row r="258" spans="1:12" ht="30">
      <c r="A258" s="102" t="s">
        <v>688</v>
      </c>
      <c r="B258" s="99" t="s">
        <v>223</v>
      </c>
      <c r="C258" s="117">
        <v>1</v>
      </c>
      <c r="D258" s="99" t="s">
        <v>147</v>
      </c>
      <c r="E258" s="100" t="s">
        <v>194</v>
      </c>
      <c r="F258" s="117">
        <v>600</v>
      </c>
      <c r="G258" s="100"/>
      <c r="H258" s="74">
        <f>H259</f>
        <v>158340.40000000002</v>
      </c>
      <c r="I258" s="74">
        <f>I259</f>
        <v>167418.40000000002</v>
      </c>
      <c r="J258" s="101">
        <f t="shared" si="10"/>
        <v>9078</v>
      </c>
      <c r="K258" s="74">
        <f>K259</f>
        <v>151101.5</v>
      </c>
      <c r="L258" s="74">
        <f>L259</f>
        <v>153076.5</v>
      </c>
    </row>
    <row r="259" spans="1:12" ht="15">
      <c r="A259" s="102" t="s">
        <v>85</v>
      </c>
      <c r="B259" s="99" t="s">
        <v>223</v>
      </c>
      <c r="C259" s="117">
        <v>1</v>
      </c>
      <c r="D259" s="99" t="s">
        <v>147</v>
      </c>
      <c r="E259" s="100" t="s">
        <v>194</v>
      </c>
      <c r="F259" s="117">
        <v>600</v>
      </c>
      <c r="G259" s="100" t="s">
        <v>86</v>
      </c>
      <c r="H259" s="74">
        <f>'Пр. 9'!I859</f>
        <v>158340.40000000002</v>
      </c>
      <c r="I259" s="74">
        <f>'Пр. 9'!J859</f>
        <v>167418.40000000002</v>
      </c>
      <c r="J259" s="101">
        <f t="shared" si="10"/>
        <v>9078</v>
      </c>
      <c r="K259" s="74">
        <f>'Пр. 9'!L859</f>
        <v>151101.5</v>
      </c>
      <c r="L259" s="74">
        <f>'Пр. 9'!M859</f>
        <v>153076.5</v>
      </c>
    </row>
    <row r="260" spans="1:12" ht="120">
      <c r="A260" s="102" t="s">
        <v>225</v>
      </c>
      <c r="B260" s="99" t="s">
        <v>223</v>
      </c>
      <c r="C260" s="117">
        <v>1</v>
      </c>
      <c r="D260" s="99" t="s">
        <v>147</v>
      </c>
      <c r="E260" s="100" t="s">
        <v>226</v>
      </c>
      <c r="F260" s="99" t="s">
        <v>227</v>
      </c>
      <c r="G260" s="100" t="s">
        <v>227</v>
      </c>
      <c r="H260" s="74">
        <f>H261</f>
        <v>545567.5</v>
      </c>
      <c r="I260" s="74">
        <f>I261</f>
        <v>545567.5</v>
      </c>
      <c r="J260" s="101">
        <f t="shared" si="10"/>
        <v>0</v>
      </c>
      <c r="K260" s="74">
        <f>K261</f>
        <v>524370.8</v>
      </c>
      <c r="L260" s="74">
        <f>L261</f>
        <v>545345.6</v>
      </c>
    </row>
    <row r="261" spans="1:12" ht="30">
      <c r="A261" s="102" t="s">
        <v>688</v>
      </c>
      <c r="B261" s="99" t="s">
        <v>223</v>
      </c>
      <c r="C261" s="117">
        <v>1</v>
      </c>
      <c r="D261" s="99" t="s">
        <v>147</v>
      </c>
      <c r="E261" s="100" t="s">
        <v>226</v>
      </c>
      <c r="F261" s="99" t="s">
        <v>689</v>
      </c>
      <c r="G261" s="100" t="s">
        <v>227</v>
      </c>
      <c r="H261" s="74">
        <f>H262</f>
        <v>545567.5</v>
      </c>
      <c r="I261" s="74">
        <f>I262</f>
        <v>545567.5</v>
      </c>
      <c r="J261" s="101">
        <f t="shared" si="10"/>
        <v>0</v>
      </c>
      <c r="K261" s="74">
        <f>K262</f>
        <v>524370.8</v>
      </c>
      <c r="L261" s="74">
        <f>L262</f>
        <v>545345.6</v>
      </c>
    </row>
    <row r="262" spans="1:12" ht="15">
      <c r="A262" s="102" t="s">
        <v>85</v>
      </c>
      <c r="B262" s="99" t="s">
        <v>223</v>
      </c>
      <c r="C262" s="117">
        <v>1</v>
      </c>
      <c r="D262" s="99" t="s">
        <v>147</v>
      </c>
      <c r="E262" s="100" t="s">
        <v>226</v>
      </c>
      <c r="F262" s="99" t="s">
        <v>689</v>
      </c>
      <c r="G262" s="100" t="s">
        <v>86</v>
      </c>
      <c r="H262" s="74">
        <f>'Пр. 9'!I861</f>
        <v>545567.5</v>
      </c>
      <c r="I262" s="74">
        <f>'Пр. 9'!J861</f>
        <v>545567.5</v>
      </c>
      <c r="J262" s="101">
        <f t="shared" si="10"/>
        <v>0</v>
      </c>
      <c r="K262" s="74">
        <f>'Пр. 9'!L861</f>
        <v>524370.8</v>
      </c>
      <c r="L262" s="74">
        <f>'Пр. 9'!M861</f>
        <v>545345.6</v>
      </c>
    </row>
    <row r="263" spans="1:12" ht="30" hidden="1">
      <c r="A263" s="102" t="s">
        <v>228</v>
      </c>
      <c r="B263" s="99" t="s">
        <v>223</v>
      </c>
      <c r="C263" s="117">
        <v>1</v>
      </c>
      <c r="D263" s="99" t="s">
        <v>147</v>
      </c>
      <c r="E263" s="100" t="s">
        <v>229</v>
      </c>
      <c r="F263" s="99"/>
      <c r="G263" s="100"/>
      <c r="H263" s="256"/>
      <c r="I263" s="256"/>
      <c r="J263" s="101">
        <f t="shared" si="10"/>
        <v>0</v>
      </c>
      <c r="K263" s="256"/>
      <c r="L263" s="256"/>
    </row>
    <row r="264" spans="1:12" ht="30" hidden="1">
      <c r="A264" s="102" t="s">
        <v>688</v>
      </c>
      <c r="B264" s="99" t="s">
        <v>223</v>
      </c>
      <c r="C264" s="117">
        <v>1</v>
      </c>
      <c r="D264" s="99" t="s">
        <v>147</v>
      </c>
      <c r="E264" s="100" t="s">
        <v>229</v>
      </c>
      <c r="F264" s="99" t="s">
        <v>689</v>
      </c>
      <c r="G264" s="100"/>
      <c r="H264" s="256"/>
      <c r="I264" s="256"/>
      <c r="J264" s="101">
        <f t="shared" si="10"/>
        <v>0</v>
      </c>
      <c r="K264" s="256"/>
      <c r="L264" s="256"/>
    </row>
    <row r="265" spans="1:12" ht="27" customHeight="1" hidden="1">
      <c r="A265" s="102" t="s">
        <v>85</v>
      </c>
      <c r="B265" s="99" t="s">
        <v>223</v>
      </c>
      <c r="C265" s="117">
        <v>1</v>
      </c>
      <c r="D265" s="99" t="s">
        <v>147</v>
      </c>
      <c r="E265" s="100" t="s">
        <v>229</v>
      </c>
      <c r="F265" s="99" t="s">
        <v>689</v>
      </c>
      <c r="G265" s="100" t="s">
        <v>86</v>
      </c>
      <c r="H265" s="74">
        <f>'Пр. 9'!I863</f>
        <v>0</v>
      </c>
      <c r="I265" s="74">
        <f>'Пр. 9'!J863</f>
        <v>0</v>
      </c>
      <c r="J265" s="101">
        <f t="shared" si="10"/>
        <v>0</v>
      </c>
      <c r="K265" s="74">
        <f>'Пр. 9'!L863</f>
        <v>0</v>
      </c>
      <c r="L265" s="74">
        <f>'Пр. 9'!M863</f>
        <v>0</v>
      </c>
    </row>
    <row r="266" spans="1:12" ht="63.75" customHeight="1" hidden="1">
      <c r="A266" s="111" t="s">
        <v>1127</v>
      </c>
      <c r="B266" s="100" t="s">
        <v>223</v>
      </c>
      <c r="C266" s="100" t="s">
        <v>131</v>
      </c>
      <c r="D266" s="99" t="s">
        <v>147</v>
      </c>
      <c r="E266" s="100" t="s">
        <v>1133</v>
      </c>
      <c r="F266" s="99" t="s">
        <v>227</v>
      </c>
      <c r="G266" s="100"/>
      <c r="H266" s="74">
        <f>H267</f>
        <v>0</v>
      </c>
      <c r="I266" s="74">
        <f>I267</f>
        <v>0</v>
      </c>
      <c r="J266" s="101">
        <f t="shared" si="10"/>
        <v>0</v>
      </c>
      <c r="K266" s="74">
        <f>K267</f>
        <v>0</v>
      </c>
      <c r="L266" s="74">
        <f>L267</f>
        <v>0</v>
      </c>
    </row>
    <row r="267" spans="1:12" ht="34.5" customHeight="1" hidden="1">
      <c r="A267" s="111" t="s">
        <v>688</v>
      </c>
      <c r="B267" s="100" t="s">
        <v>223</v>
      </c>
      <c r="C267" s="100" t="s">
        <v>131</v>
      </c>
      <c r="D267" s="99" t="s">
        <v>147</v>
      </c>
      <c r="E267" s="100" t="s">
        <v>1133</v>
      </c>
      <c r="F267" s="99" t="s">
        <v>689</v>
      </c>
      <c r="G267" s="100"/>
      <c r="H267" s="74">
        <f>H268</f>
        <v>0</v>
      </c>
      <c r="I267" s="74">
        <f>I268</f>
        <v>0</v>
      </c>
      <c r="J267" s="101">
        <f t="shared" si="10"/>
        <v>0</v>
      </c>
      <c r="K267" s="74">
        <f>K268</f>
        <v>0</v>
      </c>
      <c r="L267" s="74">
        <f>L268</f>
        <v>0</v>
      </c>
    </row>
    <row r="268" spans="1:12" ht="23.25" customHeight="1" hidden="1">
      <c r="A268" s="102" t="s">
        <v>85</v>
      </c>
      <c r="B268" s="100" t="s">
        <v>223</v>
      </c>
      <c r="C268" s="100" t="s">
        <v>131</v>
      </c>
      <c r="D268" s="99" t="s">
        <v>147</v>
      </c>
      <c r="E268" s="100" t="s">
        <v>1133</v>
      </c>
      <c r="F268" s="99" t="s">
        <v>689</v>
      </c>
      <c r="G268" s="100" t="s">
        <v>86</v>
      </c>
      <c r="H268" s="74">
        <f>'Пр. 9'!I865</f>
        <v>0</v>
      </c>
      <c r="I268" s="74">
        <f>'Пр. 9'!J865</f>
        <v>0</v>
      </c>
      <c r="J268" s="101">
        <f t="shared" si="10"/>
        <v>0</v>
      </c>
      <c r="K268" s="74">
        <f>'Пр. 9'!L865</f>
        <v>0</v>
      </c>
      <c r="L268" s="74">
        <f>'Пр. 9'!M865</f>
        <v>0</v>
      </c>
    </row>
    <row r="269" spans="1:12" s="5" customFormat="1" ht="45">
      <c r="A269" s="102" t="s">
        <v>232</v>
      </c>
      <c r="B269" s="99" t="s">
        <v>223</v>
      </c>
      <c r="C269" s="117">
        <v>1</v>
      </c>
      <c r="D269" s="99" t="s">
        <v>147</v>
      </c>
      <c r="E269" s="100" t="s">
        <v>233</v>
      </c>
      <c r="F269" s="99" t="s">
        <v>227</v>
      </c>
      <c r="G269" s="100" t="s">
        <v>227</v>
      </c>
      <c r="H269" s="74">
        <f>H270+H272+H274</f>
        <v>23398.3</v>
      </c>
      <c r="I269" s="74">
        <f>I270+I272+I274</f>
        <v>23398.3</v>
      </c>
      <c r="J269" s="101">
        <f t="shared" si="10"/>
        <v>0</v>
      </c>
      <c r="K269" s="74">
        <f>K270+K272+K274</f>
        <v>23398.3</v>
      </c>
      <c r="L269" s="74">
        <f>L270+L272+L274</f>
        <v>23398.3</v>
      </c>
    </row>
    <row r="270" spans="1:12" ht="60">
      <c r="A270" s="102" t="s">
        <v>680</v>
      </c>
      <c r="B270" s="99" t="s">
        <v>223</v>
      </c>
      <c r="C270" s="117">
        <v>1</v>
      </c>
      <c r="D270" s="99" t="s">
        <v>147</v>
      </c>
      <c r="E270" s="100" t="s">
        <v>233</v>
      </c>
      <c r="F270" s="99" t="s">
        <v>681</v>
      </c>
      <c r="G270" s="100"/>
      <c r="H270" s="74">
        <f>H271</f>
        <v>758.1</v>
      </c>
      <c r="I270" s="74">
        <f>I271</f>
        <v>758.1</v>
      </c>
      <c r="J270" s="101">
        <f t="shared" si="10"/>
        <v>0</v>
      </c>
      <c r="K270" s="74">
        <f>K271</f>
        <v>758.1</v>
      </c>
      <c r="L270" s="74">
        <f>L271</f>
        <v>758.1</v>
      </c>
    </row>
    <row r="271" spans="1:12" ht="15">
      <c r="A271" s="102" t="s">
        <v>95</v>
      </c>
      <c r="B271" s="99" t="s">
        <v>223</v>
      </c>
      <c r="C271" s="117">
        <v>1</v>
      </c>
      <c r="D271" s="99" t="s">
        <v>147</v>
      </c>
      <c r="E271" s="100" t="s">
        <v>233</v>
      </c>
      <c r="F271" s="99" t="s">
        <v>681</v>
      </c>
      <c r="G271" s="100" t="s">
        <v>96</v>
      </c>
      <c r="H271" s="74">
        <f>'Пр. 9'!I824</f>
        <v>758.1</v>
      </c>
      <c r="I271" s="74">
        <f>'Пр. 9'!J824</f>
        <v>758.1</v>
      </c>
      <c r="J271" s="101">
        <f t="shared" si="10"/>
        <v>0</v>
      </c>
      <c r="K271" s="74">
        <f>'Пр. 9'!L824</f>
        <v>758.1</v>
      </c>
      <c r="L271" s="74">
        <f>'Пр. 9'!M824</f>
        <v>758.1</v>
      </c>
    </row>
    <row r="272" spans="1:12" ht="30">
      <c r="A272" s="102" t="s">
        <v>683</v>
      </c>
      <c r="B272" s="99" t="s">
        <v>223</v>
      </c>
      <c r="C272" s="117">
        <v>1</v>
      </c>
      <c r="D272" s="99" t="s">
        <v>147</v>
      </c>
      <c r="E272" s="100" t="s">
        <v>233</v>
      </c>
      <c r="F272" s="99" t="s">
        <v>682</v>
      </c>
      <c r="G272" s="100"/>
      <c r="H272" s="74">
        <f>H273</f>
        <v>151.6</v>
      </c>
      <c r="I272" s="74">
        <f>I273</f>
        <v>151.6</v>
      </c>
      <c r="J272" s="101">
        <f t="shared" si="10"/>
        <v>0</v>
      </c>
      <c r="K272" s="74">
        <f>K273</f>
        <v>151.6</v>
      </c>
      <c r="L272" s="74">
        <f>L273</f>
        <v>151.6</v>
      </c>
    </row>
    <row r="273" spans="1:12" ht="15">
      <c r="A273" s="102" t="s">
        <v>95</v>
      </c>
      <c r="B273" s="99" t="s">
        <v>223</v>
      </c>
      <c r="C273" s="117">
        <v>1</v>
      </c>
      <c r="D273" s="99" t="s">
        <v>147</v>
      </c>
      <c r="E273" s="100" t="s">
        <v>233</v>
      </c>
      <c r="F273" s="99" t="s">
        <v>682</v>
      </c>
      <c r="G273" s="100" t="s">
        <v>96</v>
      </c>
      <c r="H273" s="74">
        <f>'Пр. 9'!I825</f>
        <v>151.6</v>
      </c>
      <c r="I273" s="74">
        <f>'Пр. 9'!J825</f>
        <v>151.6</v>
      </c>
      <c r="J273" s="101">
        <f t="shared" si="10"/>
        <v>0</v>
      </c>
      <c r="K273" s="74">
        <f>'Пр. 9'!L825</f>
        <v>151.6</v>
      </c>
      <c r="L273" s="74">
        <f>'Пр. 9'!M825</f>
        <v>151.6</v>
      </c>
    </row>
    <row r="274" spans="1:12" ht="30">
      <c r="A274" s="111" t="s">
        <v>688</v>
      </c>
      <c r="B274" s="99" t="s">
        <v>223</v>
      </c>
      <c r="C274" s="117">
        <v>1</v>
      </c>
      <c r="D274" s="99" t="s">
        <v>147</v>
      </c>
      <c r="E274" s="100" t="s">
        <v>233</v>
      </c>
      <c r="F274" s="99" t="s">
        <v>689</v>
      </c>
      <c r="G274" s="100" t="s">
        <v>227</v>
      </c>
      <c r="H274" s="74">
        <f>H275</f>
        <v>22488.6</v>
      </c>
      <c r="I274" s="74">
        <f>I275</f>
        <v>22488.6</v>
      </c>
      <c r="J274" s="101">
        <f t="shared" si="10"/>
        <v>0</v>
      </c>
      <c r="K274" s="74">
        <f>K275</f>
        <v>22488.6</v>
      </c>
      <c r="L274" s="74">
        <f>L275</f>
        <v>22488.6</v>
      </c>
    </row>
    <row r="275" spans="1:12" ht="15">
      <c r="A275" s="102" t="s">
        <v>109</v>
      </c>
      <c r="B275" s="99" t="s">
        <v>223</v>
      </c>
      <c r="C275" s="117">
        <v>1</v>
      </c>
      <c r="D275" s="99" t="s">
        <v>147</v>
      </c>
      <c r="E275" s="100" t="s">
        <v>233</v>
      </c>
      <c r="F275" s="99" t="s">
        <v>689</v>
      </c>
      <c r="G275" s="100" t="s">
        <v>110</v>
      </c>
      <c r="H275" s="74">
        <f>'Пр. 9'!I1065</f>
        <v>22488.6</v>
      </c>
      <c r="I275" s="74">
        <f>'Пр. 9'!J1065</f>
        <v>22488.6</v>
      </c>
      <c r="J275" s="101">
        <f t="shared" si="10"/>
        <v>0</v>
      </c>
      <c r="K275" s="74">
        <f>'Пр. 9'!L1065</f>
        <v>22488.6</v>
      </c>
      <c r="L275" s="74">
        <f>'Пр. 9'!M1065</f>
        <v>22488.6</v>
      </c>
    </row>
    <row r="276" spans="1:12" s="9" customFormat="1" ht="28.5">
      <c r="A276" s="116" t="s">
        <v>234</v>
      </c>
      <c r="B276" s="67" t="s">
        <v>223</v>
      </c>
      <c r="C276" s="94">
        <v>1</v>
      </c>
      <c r="D276" s="67" t="s">
        <v>160</v>
      </c>
      <c r="E276" s="95" t="s">
        <v>150</v>
      </c>
      <c r="F276" s="94"/>
      <c r="G276" s="95"/>
      <c r="H276" s="36">
        <f>H280+H283+H277+H289+H295+H292+H286+H298</f>
        <v>63458.8</v>
      </c>
      <c r="I276" s="36">
        <f>I280+I283+I277+I289+I295+I292+I286+I298</f>
        <v>64256.2</v>
      </c>
      <c r="J276" s="96">
        <f t="shared" si="10"/>
        <v>797.3999999999942</v>
      </c>
      <c r="K276" s="36">
        <f>K280+K283+K277+K289+K295+K292+K286+K298</f>
        <v>21521.75</v>
      </c>
      <c r="L276" s="36">
        <f>L280+L283+L277+L289+L295+L292+L286+L298</f>
        <v>5093.8</v>
      </c>
    </row>
    <row r="277" spans="1:12" ht="15">
      <c r="A277" s="107" t="s">
        <v>235</v>
      </c>
      <c r="B277" s="99" t="s">
        <v>223</v>
      </c>
      <c r="C277" s="117">
        <v>1</v>
      </c>
      <c r="D277" s="99" t="s">
        <v>160</v>
      </c>
      <c r="E277" s="100" t="s">
        <v>202</v>
      </c>
      <c r="F277" s="117"/>
      <c r="G277" s="100"/>
      <c r="H277" s="74">
        <f>H278</f>
        <v>5256.1</v>
      </c>
      <c r="I277" s="74">
        <f>I278</f>
        <v>5263.3</v>
      </c>
      <c r="J277" s="101">
        <f t="shared" si="10"/>
        <v>7.199999999999818</v>
      </c>
      <c r="K277" s="74">
        <f>K278</f>
        <v>2309.3</v>
      </c>
      <c r="L277" s="74">
        <f>L278</f>
        <v>2300</v>
      </c>
    </row>
    <row r="278" spans="1:12" ht="30">
      <c r="A278" s="102" t="s">
        <v>688</v>
      </c>
      <c r="B278" s="99" t="s">
        <v>223</v>
      </c>
      <c r="C278" s="117">
        <v>1</v>
      </c>
      <c r="D278" s="99" t="s">
        <v>160</v>
      </c>
      <c r="E278" s="100" t="s">
        <v>202</v>
      </c>
      <c r="F278" s="117">
        <v>600</v>
      </c>
      <c r="G278" s="100"/>
      <c r="H278" s="74">
        <f>H279</f>
        <v>5256.1</v>
      </c>
      <c r="I278" s="74">
        <f>I279</f>
        <v>5263.3</v>
      </c>
      <c r="J278" s="101">
        <f t="shared" si="10"/>
        <v>7.199999999999818</v>
      </c>
      <c r="K278" s="74">
        <f>K279</f>
        <v>2309.3</v>
      </c>
      <c r="L278" s="74">
        <f>L279</f>
        <v>2300</v>
      </c>
    </row>
    <row r="279" spans="1:12" ht="15">
      <c r="A279" s="102" t="s">
        <v>85</v>
      </c>
      <c r="B279" s="99" t="s">
        <v>223</v>
      </c>
      <c r="C279" s="117">
        <v>1</v>
      </c>
      <c r="D279" s="99" t="s">
        <v>160</v>
      </c>
      <c r="E279" s="100" t="s">
        <v>202</v>
      </c>
      <c r="F279" s="117">
        <v>600</v>
      </c>
      <c r="G279" s="100" t="s">
        <v>86</v>
      </c>
      <c r="H279" s="74">
        <f>'Пр. 9'!I868</f>
        <v>5256.1</v>
      </c>
      <c r="I279" s="74">
        <f>'Пр. 9'!J868</f>
        <v>5263.3</v>
      </c>
      <c r="J279" s="101">
        <f aca="true" t="shared" si="18" ref="J279:J348">I279-H279</f>
        <v>7.199999999999818</v>
      </c>
      <c r="K279" s="74">
        <f>'Пр. 9'!L868</f>
        <v>2309.3</v>
      </c>
      <c r="L279" s="74">
        <f>'Пр. 9'!M868</f>
        <v>2300</v>
      </c>
    </row>
    <row r="280" spans="1:12" ht="30">
      <c r="A280" s="102" t="s">
        <v>236</v>
      </c>
      <c r="B280" s="99" t="s">
        <v>223</v>
      </c>
      <c r="C280" s="117">
        <v>1</v>
      </c>
      <c r="D280" s="99" t="s">
        <v>160</v>
      </c>
      <c r="E280" s="99" t="s">
        <v>237</v>
      </c>
      <c r="F280" s="99"/>
      <c r="G280" s="100"/>
      <c r="H280" s="74">
        <f>H281</f>
        <v>2129.5</v>
      </c>
      <c r="I280" s="74">
        <f>I281</f>
        <v>2919.7</v>
      </c>
      <c r="J280" s="101">
        <f t="shared" si="18"/>
        <v>790.1999999999998</v>
      </c>
      <c r="K280" s="74">
        <f>K281</f>
        <v>235.10000000000002</v>
      </c>
      <c r="L280" s="74">
        <f>L281</f>
        <v>33</v>
      </c>
    </row>
    <row r="281" spans="1:12" ht="30">
      <c r="A281" s="22" t="s">
        <v>688</v>
      </c>
      <c r="B281" s="99" t="s">
        <v>223</v>
      </c>
      <c r="C281" s="117">
        <v>1</v>
      </c>
      <c r="D281" s="99" t="s">
        <v>160</v>
      </c>
      <c r="E281" s="99" t="s">
        <v>237</v>
      </c>
      <c r="F281" s="99" t="s">
        <v>689</v>
      </c>
      <c r="G281" s="100"/>
      <c r="H281" s="74">
        <f>H282</f>
        <v>2129.5</v>
      </c>
      <c r="I281" s="74">
        <f>I282</f>
        <v>2919.7</v>
      </c>
      <c r="J281" s="101">
        <f t="shared" si="18"/>
        <v>790.1999999999998</v>
      </c>
      <c r="K281" s="74">
        <f>K282</f>
        <v>235.10000000000002</v>
      </c>
      <c r="L281" s="74">
        <f>L282</f>
        <v>33</v>
      </c>
    </row>
    <row r="282" spans="1:12" ht="15">
      <c r="A282" s="102" t="s">
        <v>85</v>
      </c>
      <c r="B282" s="99" t="s">
        <v>223</v>
      </c>
      <c r="C282" s="117">
        <v>1</v>
      </c>
      <c r="D282" s="99" t="s">
        <v>160</v>
      </c>
      <c r="E282" s="99" t="s">
        <v>237</v>
      </c>
      <c r="F282" s="99" t="s">
        <v>689</v>
      </c>
      <c r="G282" s="100" t="s">
        <v>86</v>
      </c>
      <c r="H282" s="74">
        <f>'Пр. 9'!I870</f>
        <v>2129.5</v>
      </c>
      <c r="I282" s="74">
        <f>'Пр. 9'!J870</f>
        <v>2919.7</v>
      </c>
      <c r="J282" s="101">
        <f t="shared" si="18"/>
        <v>790.1999999999998</v>
      </c>
      <c r="K282" s="74">
        <f>'Пр. 9'!L870</f>
        <v>235.10000000000002</v>
      </c>
      <c r="L282" s="74">
        <f>'Пр. 9'!M870</f>
        <v>33</v>
      </c>
    </row>
    <row r="283" spans="1:12" ht="15">
      <c r="A283" s="102" t="s">
        <v>925</v>
      </c>
      <c r="B283" s="99" t="s">
        <v>223</v>
      </c>
      <c r="C283" s="117">
        <v>1</v>
      </c>
      <c r="D283" s="99" t="s">
        <v>160</v>
      </c>
      <c r="E283" s="99" t="s">
        <v>238</v>
      </c>
      <c r="F283" s="99"/>
      <c r="G283" s="100"/>
      <c r="H283" s="74">
        <f>H284</f>
        <v>2714</v>
      </c>
      <c r="I283" s="74">
        <f>I284</f>
        <v>2714</v>
      </c>
      <c r="J283" s="101">
        <f t="shared" si="18"/>
        <v>0</v>
      </c>
      <c r="K283" s="74">
        <f>K284</f>
        <v>619.1</v>
      </c>
      <c r="L283" s="74">
        <f>L284</f>
        <v>643.2</v>
      </c>
    </row>
    <row r="284" spans="1:12" ht="30">
      <c r="A284" s="22" t="s">
        <v>688</v>
      </c>
      <c r="B284" s="99" t="s">
        <v>223</v>
      </c>
      <c r="C284" s="117">
        <v>1</v>
      </c>
      <c r="D284" s="99" t="s">
        <v>160</v>
      </c>
      <c r="E284" s="99" t="s">
        <v>238</v>
      </c>
      <c r="F284" s="99" t="s">
        <v>689</v>
      </c>
      <c r="G284" s="100"/>
      <c r="H284" s="74">
        <f>H285</f>
        <v>2714</v>
      </c>
      <c r="I284" s="74">
        <f>I285</f>
        <v>2714</v>
      </c>
      <c r="J284" s="101">
        <f t="shared" si="18"/>
        <v>0</v>
      </c>
      <c r="K284" s="74">
        <f>K285</f>
        <v>619.1</v>
      </c>
      <c r="L284" s="74">
        <f>L285</f>
        <v>643.2</v>
      </c>
    </row>
    <row r="285" spans="1:12" ht="15">
      <c r="A285" s="102" t="s">
        <v>85</v>
      </c>
      <c r="B285" s="99" t="s">
        <v>223</v>
      </c>
      <c r="C285" s="117">
        <v>1</v>
      </c>
      <c r="D285" s="99" t="s">
        <v>160</v>
      </c>
      <c r="E285" s="99" t="s">
        <v>238</v>
      </c>
      <c r="F285" s="99" t="s">
        <v>689</v>
      </c>
      <c r="G285" s="100" t="s">
        <v>86</v>
      </c>
      <c r="H285" s="74">
        <f>'Пр. 9'!I872</f>
        <v>2714</v>
      </c>
      <c r="I285" s="74">
        <f>'Пр. 9'!J872</f>
        <v>2714</v>
      </c>
      <c r="J285" s="101">
        <f t="shared" si="18"/>
        <v>0</v>
      </c>
      <c r="K285" s="74">
        <f>'Пр. 9'!L872</f>
        <v>619.1</v>
      </c>
      <c r="L285" s="74">
        <f>'Пр. 9'!M872</f>
        <v>643.2</v>
      </c>
    </row>
    <row r="286" spans="1:12" ht="30" hidden="1">
      <c r="A286" s="109" t="s">
        <v>743</v>
      </c>
      <c r="B286" s="100" t="s">
        <v>223</v>
      </c>
      <c r="C286" s="100" t="s">
        <v>131</v>
      </c>
      <c r="D286" s="100" t="s">
        <v>160</v>
      </c>
      <c r="E286" s="100" t="s">
        <v>742</v>
      </c>
      <c r="F286" s="99"/>
      <c r="G286" s="100"/>
      <c r="H286" s="74">
        <f>H287</f>
        <v>0</v>
      </c>
      <c r="I286" s="74">
        <f>I287</f>
        <v>0</v>
      </c>
      <c r="J286" s="101">
        <f t="shared" si="18"/>
        <v>0</v>
      </c>
      <c r="K286" s="74">
        <f>K287</f>
        <v>0</v>
      </c>
      <c r="L286" s="74">
        <f>L287</f>
        <v>0</v>
      </c>
    </row>
    <row r="287" spans="1:12" ht="30" hidden="1">
      <c r="A287" s="109" t="s">
        <v>688</v>
      </c>
      <c r="B287" s="100" t="s">
        <v>223</v>
      </c>
      <c r="C287" s="100" t="s">
        <v>131</v>
      </c>
      <c r="D287" s="100" t="s">
        <v>160</v>
      </c>
      <c r="E287" s="100" t="s">
        <v>742</v>
      </c>
      <c r="F287" s="99" t="s">
        <v>689</v>
      </c>
      <c r="G287" s="100"/>
      <c r="H287" s="74">
        <f>H288</f>
        <v>0</v>
      </c>
      <c r="I287" s="74">
        <f>I288</f>
        <v>0</v>
      </c>
      <c r="J287" s="101">
        <f t="shared" si="18"/>
        <v>0</v>
      </c>
      <c r="K287" s="74">
        <f>K288</f>
        <v>0</v>
      </c>
      <c r="L287" s="74">
        <f>L288</f>
        <v>0</v>
      </c>
    </row>
    <row r="288" spans="1:12" ht="15" hidden="1">
      <c r="A288" s="102" t="s">
        <v>85</v>
      </c>
      <c r="B288" s="100" t="s">
        <v>223</v>
      </c>
      <c r="C288" s="100" t="s">
        <v>131</v>
      </c>
      <c r="D288" s="100" t="s">
        <v>160</v>
      </c>
      <c r="E288" s="100" t="s">
        <v>742</v>
      </c>
      <c r="F288" s="99" t="s">
        <v>689</v>
      </c>
      <c r="G288" s="100" t="s">
        <v>86</v>
      </c>
      <c r="H288" s="74">
        <f>'Пр. 9'!I874</f>
        <v>0</v>
      </c>
      <c r="I288" s="74">
        <f>'Пр. 9'!J874</f>
        <v>0</v>
      </c>
      <c r="J288" s="101">
        <f t="shared" si="18"/>
        <v>0</v>
      </c>
      <c r="K288" s="74">
        <f>'Пр. 9'!L874</f>
        <v>0</v>
      </c>
      <c r="L288" s="74">
        <f>'Пр. 9'!M874</f>
        <v>0</v>
      </c>
    </row>
    <row r="289" spans="1:12" ht="30">
      <c r="A289" s="102" t="s">
        <v>231</v>
      </c>
      <c r="B289" s="100" t="s">
        <v>223</v>
      </c>
      <c r="C289" s="100" t="s">
        <v>131</v>
      </c>
      <c r="D289" s="99" t="s">
        <v>160</v>
      </c>
      <c r="E289" s="100" t="s">
        <v>869</v>
      </c>
      <c r="F289" s="99"/>
      <c r="G289" s="100"/>
      <c r="H289" s="74">
        <f>H290</f>
        <v>2117.6000000000004</v>
      </c>
      <c r="I289" s="74">
        <f>I290</f>
        <v>2117.6000000000004</v>
      </c>
      <c r="J289" s="101">
        <f t="shared" si="18"/>
        <v>0</v>
      </c>
      <c r="K289" s="74">
        <f>K290</f>
        <v>2347.6</v>
      </c>
      <c r="L289" s="74">
        <f>L290</f>
        <v>2117.6000000000004</v>
      </c>
    </row>
    <row r="290" spans="1:12" ht="30">
      <c r="A290" s="102" t="s">
        <v>688</v>
      </c>
      <c r="B290" s="100" t="s">
        <v>223</v>
      </c>
      <c r="C290" s="100" t="s">
        <v>131</v>
      </c>
      <c r="D290" s="99" t="s">
        <v>160</v>
      </c>
      <c r="E290" s="100" t="s">
        <v>869</v>
      </c>
      <c r="F290" s="99" t="s">
        <v>689</v>
      </c>
      <c r="G290" s="100"/>
      <c r="H290" s="74">
        <f>H291</f>
        <v>2117.6000000000004</v>
      </c>
      <c r="I290" s="74">
        <f>I291</f>
        <v>2117.6000000000004</v>
      </c>
      <c r="J290" s="101">
        <f t="shared" si="18"/>
        <v>0</v>
      </c>
      <c r="K290" s="74">
        <f>K291</f>
        <v>2347.6</v>
      </c>
      <c r="L290" s="74">
        <f>L291</f>
        <v>2117.6000000000004</v>
      </c>
    </row>
    <row r="291" spans="1:12" ht="15">
      <c r="A291" s="102" t="s">
        <v>85</v>
      </c>
      <c r="B291" s="100" t="s">
        <v>223</v>
      </c>
      <c r="C291" s="100" t="s">
        <v>131</v>
      </c>
      <c r="D291" s="99" t="s">
        <v>160</v>
      </c>
      <c r="E291" s="100" t="s">
        <v>869</v>
      </c>
      <c r="F291" s="99" t="s">
        <v>689</v>
      </c>
      <c r="G291" s="100" t="s">
        <v>86</v>
      </c>
      <c r="H291" s="74">
        <f>'Пр. 9'!I876</f>
        <v>2117.6000000000004</v>
      </c>
      <c r="I291" s="74">
        <f>'Пр. 9'!J876</f>
        <v>2117.6000000000004</v>
      </c>
      <c r="J291" s="101">
        <f t="shared" si="18"/>
        <v>0</v>
      </c>
      <c r="K291" s="74">
        <f>'Пр. 9'!L876</f>
        <v>2347.6</v>
      </c>
      <c r="L291" s="74">
        <f>'Пр. 9'!M876</f>
        <v>2117.6000000000004</v>
      </c>
    </row>
    <row r="292" spans="1:12" ht="30" hidden="1">
      <c r="A292" s="109" t="s">
        <v>729</v>
      </c>
      <c r="B292" s="100" t="s">
        <v>223</v>
      </c>
      <c r="C292" s="100" t="s">
        <v>131</v>
      </c>
      <c r="D292" s="99" t="s">
        <v>160</v>
      </c>
      <c r="E292" s="100" t="s">
        <v>730</v>
      </c>
      <c r="F292" s="99"/>
      <c r="G292" s="100"/>
      <c r="H292" s="74">
        <f>H293</f>
        <v>0</v>
      </c>
      <c r="I292" s="74">
        <f>I293</f>
        <v>0</v>
      </c>
      <c r="J292" s="101">
        <f t="shared" si="18"/>
        <v>0</v>
      </c>
      <c r="K292" s="74">
        <f>K293</f>
        <v>0</v>
      </c>
      <c r="L292" s="74">
        <f>L293</f>
        <v>0</v>
      </c>
    </row>
    <row r="293" spans="1:12" ht="30" hidden="1">
      <c r="A293" s="109" t="s">
        <v>688</v>
      </c>
      <c r="B293" s="100" t="s">
        <v>223</v>
      </c>
      <c r="C293" s="100" t="s">
        <v>131</v>
      </c>
      <c r="D293" s="99" t="s">
        <v>160</v>
      </c>
      <c r="E293" s="100" t="s">
        <v>730</v>
      </c>
      <c r="F293" s="99" t="s">
        <v>689</v>
      </c>
      <c r="G293" s="100"/>
      <c r="H293" s="74">
        <f>H294</f>
        <v>0</v>
      </c>
      <c r="I293" s="74">
        <f>I294</f>
        <v>0</v>
      </c>
      <c r="J293" s="101">
        <f t="shared" si="18"/>
        <v>0</v>
      </c>
      <c r="K293" s="74">
        <f>K294</f>
        <v>0</v>
      </c>
      <c r="L293" s="74">
        <f>L294</f>
        <v>0</v>
      </c>
    </row>
    <row r="294" spans="1:12" ht="15" hidden="1">
      <c r="A294" s="102" t="s">
        <v>85</v>
      </c>
      <c r="B294" s="100" t="s">
        <v>223</v>
      </c>
      <c r="C294" s="100" t="s">
        <v>131</v>
      </c>
      <c r="D294" s="99" t="s">
        <v>160</v>
      </c>
      <c r="E294" s="100" t="s">
        <v>730</v>
      </c>
      <c r="F294" s="99" t="s">
        <v>689</v>
      </c>
      <c r="G294" s="100" t="s">
        <v>86</v>
      </c>
      <c r="H294" s="74">
        <f>'Пр. 9'!I878</f>
        <v>0</v>
      </c>
      <c r="I294" s="74">
        <f>'Пр. 9'!J878</f>
        <v>0</v>
      </c>
      <c r="J294" s="101">
        <f t="shared" si="18"/>
        <v>0</v>
      </c>
      <c r="K294" s="74">
        <f>'Пр. 9'!L878</f>
        <v>0</v>
      </c>
      <c r="L294" s="74">
        <f>'Пр. 9'!M878</f>
        <v>0</v>
      </c>
    </row>
    <row r="295" spans="1:12" ht="21" customHeight="1">
      <c r="A295" s="111" t="s">
        <v>1072</v>
      </c>
      <c r="B295" s="100" t="s">
        <v>223</v>
      </c>
      <c r="C295" s="100" t="s">
        <v>131</v>
      </c>
      <c r="D295" s="99" t="s">
        <v>160</v>
      </c>
      <c r="E295" s="100" t="s">
        <v>1073</v>
      </c>
      <c r="F295" s="99"/>
      <c r="G295" s="100"/>
      <c r="H295" s="74">
        <f>H296</f>
        <v>48178.4</v>
      </c>
      <c r="I295" s="74">
        <f>I296</f>
        <v>48178.4</v>
      </c>
      <c r="J295" s="101">
        <f t="shared" si="18"/>
        <v>0</v>
      </c>
      <c r="K295" s="74">
        <f>K296</f>
        <v>16010.65</v>
      </c>
      <c r="L295" s="74">
        <f>L296</f>
        <v>0</v>
      </c>
    </row>
    <row r="296" spans="1:12" ht="35.25" customHeight="1">
      <c r="A296" s="111" t="s">
        <v>688</v>
      </c>
      <c r="B296" s="100" t="s">
        <v>223</v>
      </c>
      <c r="C296" s="100" t="s">
        <v>131</v>
      </c>
      <c r="D296" s="99" t="s">
        <v>160</v>
      </c>
      <c r="E296" s="100" t="s">
        <v>1073</v>
      </c>
      <c r="F296" s="99" t="s">
        <v>689</v>
      </c>
      <c r="G296" s="100"/>
      <c r="H296" s="74">
        <f>H297</f>
        <v>48178.4</v>
      </c>
      <c r="I296" s="74">
        <f>I297</f>
        <v>48178.4</v>
      </c>
      <c r="J296" s="101">
        <f t="shared" si="18"/>
        <v>0</v>
      </c>
      <c r="K296" s="74">
        <f>K297</f>
        <v>16010.65</v>
      </c>
      <c r="L296" s="74">
        <f>L297</f>
        <v>0</v>
      </c>
    </row>
    <row r="297" spans="1:12" ht="20.25" customHeight="1">
      <c r="A297" s="102" t="s">
        <v>85</v>
      </c>
      <c r="B297" s="100" t="s">
        <v>223</v>
      </c>
      <c r="C297" s="100" t="s">
        <v>131</v>
      </c>
      <c r="D297" s="99" t="s">
        <v>160</v>
      </c>
      <c r="E297" s="100" t="s">
        <v>1073</v>
      </c>
      <c r="F297" s="99" t="s">
        <v>689</v>
      </c>
      <c r="G297" s="100" t="s">
        <v>86</v>
      </c>
      <c r="H297" s="74">
        <f>'Пр. 9'!I880</f>
        <v>48178.4</v>
      </c>
      <c r="I297" s="74">
        <f>'Пр. 9'!J880</f>
        <v>48178.4</v>
      </c>
      <c r="J297" s="101">
        <f t="shared" si="18"/>
        <v>0</v>
      </c>
      <c r="K297" s="74">
        <f>'Пр. 9'!L880</f>
        <v>16010.65</v>
      </c>
      <c r="L297" s="74">
        <f>'Пр. 9'!M880</f>
        <v>0</v>
      </c>
    </row>
    <row r="298" spans="1:12" ht="30">
      <c r="A298" s="109" t="s">
        <v>1031</v>
      </c>
      <c r="B298" s="100" t="s">
        <v>223</v>
      </c>
      <c r="C298" s="100" t="s">
        <v>131</v>
      </c>
      <c r="D298" s="99" t="s">
        <v>160</v>
      </c>
      <c r="E298" s="99" t="s">
        <v>1030</v>
      </c>
      <c r="F298" s="99"/>
      <c r="G298" s="100"/>
      <c r="H298" s="74">
        <f aca="true" t="shared" si="19" ref="H298:L299">H299</f>
        <v>3063.2</v>
      </c>
      <c r="I298" s="74">
        <f t="shared" si="19"/>
        <v>3063.2</v>
      </c>
      <c r="J298" s="101">
        <f t="shared" si="18"/>
        <v>0</v>
      </c>
      <c r="K298" s="74">
        <f t="shared" si="19"/>
        <v>0</v>
      </c>
      <c r="L298" s="74">
        <f t="shared" si="19"/>
        <v>0</v>
      </c>
    </row>
    <row r="299" spans="1:12" ht="30">
      <c r="A299" s="115" t="s">
        <v>688</v>
      </c>
      <c r="B299" s="100" t="s">
        <v>223</v>
      </c>
      <c r="C299" s="100" t="s">
        <v>131</v>
      </c>
      <c r="D299" s="99" t="s">
        <v>160</v>
      </c>
      <c r="E299" s="99" t="s">
        <v>1030</v>
      </c>
      <c r="F299" s="99" t="s">
        <v>689</v>
      </c>
      <c r="G299" s="100"/>
      <c r="H299" s="74">
        <f t="shared" si="19"/>
        <v>3063.2</v>
      </c>
      <c r="I299" s="74">
        <f t="shared" si="19"/>
        <v>3063.2</v>
      </c>
      <c r="J299" s="101">
        <f t="shared" si="18"/>
        <v>0</v>
      </c>
      <c r="K299" s="74">
        <f t="shared" si="19"/>
        <v>0</v>
      </c>
      <c r="L299" s="74">
        <f t="shared" si="19"/>
        <v>0</v>
      </c>
    </row>
    <row r="300" spans="1:12" ht="15">
      <c r="A300" s="102" t="s">
        <v>85</v>
      </c>
      <c r="B300" s="100" t="s">
        <v>223</v>
      </c>
      <c r="C300" s="100" t="s">
        <v>131</v>
      </c>
      <c r="D300" s="99" t="s">
        <v>160</v>
      </c>
      <c r="E300" s="99" t="s">
        <v>1030</v>
      </c>
      <c r="F300" s="99" t="s">
        <v>689</v>
      </c>
      <c r="G300" s="100" t="s">
        <v>86</v>
      </c>
      <c r="H300" s="74">
        <f>'Пр. 9'!I881</f>
        <v>3063.2</v>
      </c>
      <c r="I300" s="74">
        <f>'Пр. 9'!J881</f>
        <v>3063.2</v>
      </c>
      <c r="J300" s="101">
        <f t="shared" si="18"/>
        <v>0</v>
      </c>
      <c r="K300" s="74">
        <f>'Пр. 9'!L881</f>
        <v>0</v>
      </c>
      <c r="L300" s="74">
        <f>'Пр. 9'!M881</f>
        <v>0</v>
      </c>
    </row>
    <row r="301" spans="1:12" s="9" customFormat="1" ht="42.75">
      <c r="A301" s="97" t="s">
        <v>239</v>
      </c>
      <c r="B301" s="67" t="s">
        <v>223</v>
      </c>
      <c r="C301" s="67" t="s">
        <v>132</v>
      </c>
      <c r="D301" s="67" t="s">
        <v>149</v>
      </c>
      <c r="E301" s="67" t="s">
        <v>150</v>
      </c>
      <c r="F301" s="67"/>
      <c r="G301" s="36"/>
      <c r="H301" s="36">
        <f>H302+H322+H334+H379+H375+H383</f>
        <v>1213928.7000000004</v>
      </c>
      <c r="I301" s="36">
        <f>I302+I322+I334+I379+I375+I383</f>
        <v>1229511.4000000001</v>
      </c>
      <c r="J301" s="96">
        <f t="shared" si="18"/>
        <v>15582.69999999972</v>
      </c>
      <c r="K301" s="36">
        <f>K302+K322+K334+K379+K375+K383</f>
        <v>1097947.7000000002</v>
      </c>
      <c r="L301" s="36">
        <f>L302+L322+L334+L379+L375+L383</f>
        <v>1061960.9</v>
      </c>
    </row>
    <row r="302" spans="1:12" s="9" customFormat="1" ht="28.5">
      <c r="A302" s="116" t="s">
        <v>240</v>
      </c>
      <c r="B302" s="95" t="s">
        <v>223</v>
      </c>
      <c r="C302" s="94" t="s">
        <v>132</v>
      </c>
      <c r="D302" s="95" t="s">
        <v>147</v>
      </c>
      <c r="E302" s="95" t="s">
        <v>150</v>
      </c>
      <c r="F302" s="67"/>
      <c r="G302" s="95"/>
      <c r="H302" s="36">
        <f>H303+H309+H312+H306+H319</f>
        <v>763350.9000000001</v>
      </c>
      <c r="I302" s="36">
        <f>I303+I309+I312+I306+I319</f>
        <v>766747.3</v>
      </c>
      <c r="J302" s="96">
        <f t="shared" si="18"/>
        <v>3396.399999999907</v>
      </c>
      <c r="K302" s="36">
        <f>K303+K309+K312+K306+K319</f>
        <v>753507.7000000001</v>
      </c>
      <c r="L302" s="36">
        <f>L303+L309+L312+L306+L319</f>
        <v>780705.8</v>
      </c>
    </row>
    <row r="303" spans="1:12" ht="30">
      <c r="A303" s="102" t="s">
        <v>193</v>
      </c>
      <c r="B303" s="100" t="s">
        <v>223</v>
      </c>
      <c r="C303" s="117">
        <v>2</v>
      </c>
      <c r="D303" s="100" t="s">
        <v>147</v>
      </c>
      <c r="E303" s="100" t="s">
        <v>194</v>
      </c>
      <c r="F303" s="99"/>
      <c r="G303" s="100"/>
      <c r="H303" s="74">
        <f>H304</f>
        <v>110794.3</v>
      </c>
      <c r="I303" s="74">
        <f>I304</f>
        <v>114190.7</v>
      </c>
      <c r="J303" s="101">
        <f t="shared" si="18"/>
        <v>3396.399999999994</v>
      </c>
      <c r="K303" s="74">
        <f>K304</f>
        <v>95863.4</v>
      </c>
      <c r="L303" s="74">
        <f>L304</f>
        <v>99528</v>
      </c>
    </row>
    <row r="304" spans="1:12" ht="30">
      <c r="A304" s="102" t="s">
        <v>688</v>
      </c>
      <c r="B304" s="100" t="s">
        <v>223</v>
      </c>
      <c r="C304" s="117">
        <v>2</v>
      </c>
      <c r="D304" s="100" t="s">
        <v>147</v>
      </c>
      <c r="E304" s="100" t="s">
        <v>194</v>
      </c>
      <c r="F304" s="99" t="s">
        <v>689</v>
      </c>
      <c r="G304" s="100"/>
      <c r="H304" s="74">
        <f>H305</f>
        <v>110794.3</v>
      </c>
      <c r="I304" s="74">
        <f>I305</f>
        <v>114190.7</v>
      </c>
      <c r="J304" s="101">
        <f t="shared" si="18"/>
        <v>3396.399999999994</v>
      </c>
      <c r="K304" s="74">
        <f>K305</f>
        <v>95863.4</v>
      </c>
      <c r="L304" s="74">
        <f>L305</f>
        <v>99528</v>
      </c>
    </row>
    <row r="305" spans="1:12" ht="15">
      <c r="A305" s="102" t="s">
        <v>87</v>
      </c>
      <c r="B305" s="100" t="s">
        <v>223</v>
      </c>
      <c r="C305" s="117">
        <v>2</v>
      </c>
      <c r="D305" s="100" t="s">
        <v>147</v>
      </c>
      <c r="E305" s="100" t="s">
        <v>194</v>
      </c>
      <c r="F305" s="99" t="s">
        <v>689</v>
      </c>
      <c r="G305" s="100" t="s">
        <v>88</v>
      </c>
      <c r="H305" s="74">
        <f>'Пр. 9'!I902</f>
        <v>110794.3</v>
      </c>
      <c r="I305" s="74">
        <f>'Пр. 9'!J902</f>
        <v>114190.7</v>
      </c>
      <c r="J305" s="101">
        <f t="shared" si="18"/>
        <v>3396.399999999994</v>
      </c>
      <c r="K305" s="74">
        <f>'Пр. 9'!L902</f>
        <v>95863.4</v>
      </c>
      <c r="L305" s="74">
        <f>'Пр. 9'!M902</f>
        <v>99528</v>
      </c>
    </row>
    <row r="306" spans="1:12" ht="45">
      <c r="A306" s="111" t="s">
        <v>1119</v>
      </c>
      <c r="B306" s="100" t="s">
        <v>223</v>
      </c>
      <c r="C306" s="100" t="s">
        <v>132</v>
      </c>
      <c r="D306" s="100" t="s">
        <v>147</v>
      </c>
      <c r="E306" s="100" t="s">
        <v>1120</v>
      </c>
      <c r="F306" s="99"/>
      <c r="G306" s="100"/>
      <c r="H306" s="74">
        <f>H307</f>
        <v>9174.4</v>
      </c>
      <c r="I306" s="74">
        <f>I307</f>
        <v>9174.4</v>
      </c>
      <c r="J306" s="101">
        <f t="shared" si="18"/>
        <v>0</v>
      </c>
      <c r="K306" s="74">
        <f>K307</f>
        <v>27523.3</v>
      </c>
      <c r="L306" s="74">
        <f>L307</f>
        <v>27523.3</v>
      </c>
    </row>
    <row r="307" spans="1:12" ht="30">
      <c r="A307" s="111" t="s">
        <v>688</v>
      </c>
      <c r="B307" s="100" t="s">
        <v>223</v>
      </c>
      <c r="C307" s="100" t="s">
        <v>132</v>
      </c>
      <c r="D307" s="100" t="s">
        <v>147</v>
      </c>
      <c r="E307" s="100" t="s">
        <v>1120</v>
      </c>
      <c r="F307" s="99" t="s">
        <v>689</v>
      </c>
      <c r="G307" s="100"/>
      <c r="H307" s="74">
        <f>H308</f>
        <v>9174.4</v>
      </c>
      <c r="I307" s="74">
        <f>I308</f>
        <v>9174.4</v>
      </c>
      <c r="J307" s="101">
        <f t="shared" si="18"/>
        <v>0</v>
      </c>
      <c r="K307" s="74">
        <f>K308</f>
        <v>27523.3</v>
      </c>
      <c r="L307" s="74">
        <f>L308</f>
        <v>27523.3</v>
      </c>
    </row>
    <row r="308" spans="1:12" ht="15">
      <c r="A308" s="102" t="s">
        <v>87</v>
      </c>
      <c r="B308" s="100" t="s">
        <v>223</v>
      </c>
      <c r="C308" s="100" t="s">
        <v>132</v>
      </c>
      <c r="D308" s="100" t="s">
        <v>147</v>
      </c>
      <c r="E308" s="100" t="s">
        <v>1120</v>
      </c>
      <c r="F308" s="99" t="s">
        <v>689</v>
      </c>
      <c r="G308" s="100" t="s">
        <v>88</v>
      </c>
      <c r="H308" s="74">
        <f>'Пр. 9'!I904</f>
        <v>9174.4</v>
      </c>
      <c r="I308" s="74">
        <f>'Пр. 9'!J904</f>
        <v>9174.4</v>
      </c>
      <c r="J308" s="101">
        <f t="shared" si="18"/>
        <v>0</v>
      </c>
      <c r="K308" s="74">
        <f>'Пр. 9'!L904</f>
        <v>27523.3</v>
      </c>
      <c r="L308" s="74">
        <f>'Пр. 9'!M904</f>
        <v>27523.3</v>
      </c>
    </row>
    <row r="309" spans="1:12" ht="135">
      <c r="A309" s="102" t="s">
        <v>241</v>
      </c>
      <c r="B309" s="100" t="s">
        <v>223</v>
      </c>
      <c r="C309" s="117">
        <v>2</v>
      </c>
      <c r="D309" s="100" t="s">
        <v>147</v>
      </c>
      <c r="E309" s="100" t="s">
        <v>242</v>
      </c>
      <c r="F309" s="99"/>
      <c r="G309" s="100"/>
      <c r="H309" s="74">
        <f>H310</f>
        <v>590872.3</v>
      </c>
      <c r="I309" s="74">
        <f>I310</f>
        <v>590872.3</v>
      </c>
      <c r="J309" s="101">
        <f t="shared" si="18"/>
        <v>0</v>
      </c>
      <c r="K309" s="74">
        <f>K310</f>
        <v>588382.4</v>
      </c>
      <c r="L309" s="74">
        <f>L310</f>
        <v>611917.7</v>
      </c>
    </row>
    <row r="310" spans="1:12" ht="30">
      <c r="A310" s="102" t="s">
        <v>688</v>
      </c>
      <c r="B310" s="100" t="s">
        <v>223</v>
      </c>
      <c r="C310" s="117">
        <v>2</v>
      </c>
      <c r="D310" s="100" t="s">
        <v>147</v>
      </c>
      <c r="E310" s="100" t="s">
        <v>242</v>
      </c>
      <c r="F310" s="99" t="s">
        <v>689</v>
      </c>
      <c r="G310" s="100"/>
      <c r="H310" s="74">
        <f>H311</f>
        <v>590872.3</v>
      </c>
      <c r="I310" s="74">
        <f>I311</f>
        <v>590872.3</v>
      </c>
      <c r="J310" s="101">
        <f t="shared" si="18"/>
        <v>0</v>
      </c>
      <c r="K310" s="74">
        <f>K311</f>
        <v>588382.4</v>
      </c>
      <c r="L310" s="74">
        <f>L311</f>
        <v>611917.7</v>
      </c>
    </row>
    <row r="311" spans="1:12" ht="15">
      <c r="A311" s="102" t="s">
        <v>87</v>
      </c>
      <c r="B311" s="100" t="s">
        <v>223</v>
      </c>
      <c r="C311" s="117">
        <v>2</v>
      </c>
      <c r="D311" s="100" t="s">
        <v>147</v>
      </c>
      <c r="E311" s="100" t="s">
        <v>242</v>
      </c>
      <c r="F311" s="99" t="s">
        <v>689</v>
      </c>
      <c r="G311" s="100" t="s">
        <v>88</v>
      </c>
      <c r="H311" s="74">
        <f>'Пр. 9'!I906</f>
        <v>590872.3</v>
      </c>
      <c r="I311" s="74">
        <f>'Пр. 9'!J906</f>
        <v>590872.3</v>
      </c>
      <c r="J311" s="101">
        <f t="shared" si="18"/>
        <v>0</v>
      </c>
      <c r="K311" s="74">
        <f>'Пр. 9'!L906</f>
        <v>588382.4</v>
      </c>
      <c r="L311" s="74">
        <f>'Пр. 9'!M906</f>
        <v>611917.7</v>
      </c>
    </row>
    <row r="312" spans="1:12" ht="114.75" customHeight="1">
      <c r="A312" s="102" t="s">
        <v>251</v>
      </c>
      <c r="B312" s="100" t="s">
        <v>223</v>
      </c>
      <c r="C312" s="117">
        <v>2</v>
      </c>
      <c r="D312" s="100" t="s">
        <v>147</v>
      </c>
      <c r="E312" s="100" t="s">
        <v>252</v>
      </c>
      <c r="F312" s="99"/>
      <c r="G312" s="100"/>
      <c r="H312" s="74">
        <f>H313+H315+H317</f>
        <v>52509.9</v>
      </c>
      <c r="I312" s="74">
        <f>I313+I315+I317</f>
        <v>36071.9</v>
      </c>
      <c r="J312" s="101">
        <f t="shared" si="18"/>
        <v>-16438</v>
      </c>
      <c r="K312" s="74">
        <f>K313+K315+K317</f>
        <v>41738.6</v>
      </c>
      <c r="L312" s="74">
        <f>L313+L315+L317</f>
        <v>41736.8</v>
      </c>
    </row>
    <row r="313" spans="1:12" ht="60">
      <c r="A313" s="102" t="s">
        <v>680</v>
      </c>
      <c r="B313" s="100" t="s">
        <v>223</v>
      </c>
      <c r="C313" s="117">
        <v>2</v>
      </c>
      <c r="D313" s="100" t="s">
        <v>147</v>
      </c>
      <c r="E313" s="100" t="s">
        <v>252</v>
      </c>
      <c r="F313" s="99" t="s">
        <v>681</v>
      </c>
      <c r="G313" s="100"/>
      <c r="H313" s="74">
        <f>H314</f>
        <v>865.9</v>
      </c>
      <c r="I313" s="74">
        <f>I314</f>
        <v>865.9</v>
      </c>
      <c r="J313" s="101">
        <f t="shared" si="18"/>
        <v>0</v>
      </c>
      <c r="K313" s="74">
        <f>K314</f>
        <v>865.9</v>
      </c>
      <c r="L313" s="74">
        <f>L314</f>
        <v>865.9</v>
      </c>
    </row>
    <row r="314" spans="1:12" ht="15">
      <c r="A314" s="102" t="s">
        <v>95</v>
      </c>
      <c r="B314" s="100" t="s">
        <v>223</v>
      </c>
      <c r="C314" s="117">
        <v>2</v>
      </c>
      <c r="D314" s="100" t="s">
        <v>147</v>
      </c>
      <c r="E314" s="100" t="s">
        <v>252</v>
      </c>
      <c r="F314" s="99" t="s">
        <v>681</v>
      </c>
      <c r="G314" s="100" t="s">
        <v>96</v>
      </c>
      <c r="H314" s="74">
        <f>'Пр. 9'!I829</f>
        <v>865.9</v>
      </c>
      <c r="I314" s="74">
        <f>'Пр. 9'!J829</f>
        <v>865.9</v>
      </c>
      <c r="J314" s="101">
        <f t="shared" si="18"/>
        <v>0</v>
      </c>
      <c r="K314" s="74">
        <f>'Пр. 9'!L829</f>
        <v>865.9</v>
      </c>
      <c r="L314" s="74">
        <f>'Пр. 9'!M829</f>
        <v>865.9</v>
      </c>
    </row>
    <row r="315" spans="1:12" ht="30">
      <c r="A315" s="102" t="s">
        <v>683</v>
      </c>
      <c r="B315" s="100" t="s">
        <v>223</v>
      </c>
      <c r="C315" s="117">
        <v>2</v>
      </c>
      <c r="D315" s="100" t="s">
        <v>147</v>
      </c>
      <c r="E315" s="100" t="s">
        <v>252</v>
      </c>
      <c r="F315" s="99" t="s">
        <v>682</v>
      </c>
      <c r="G315" s="100"/>
      <c r="H315" s="74">
        <f>H316</f>
        <v>173.2</v>
      </c>
      <c r="I315" s="74">
        <f>I316</f>
        <v>173.2</v>
      </c>
      <c r="J315" s="101">
        <f t="shared" si="18"/>
        <v>0</v>
      </c>
      <c r="K315" s="74">
        <f>K316</f>
        <v>173.2</v>
      </c>
      <c r="L315" s="74">
        <f>L316</f>
        <v>173.2</v>
      </c>
    </row>
    <row r="316" spans="1:12" ht="15">
      <c r="A316" s="102" t="s">
        <v>95</v>
      </c>
      <c r="B316" s="100" t="s">
        <v>223</v>
      </c>
      <c r="C316" s="117">
        <v>2</v>
      </c>
      <c r="D316" s="100" t="s">
        <v>147</v>
      </c>
      <c r="E316" s="100" t="s">
        <v>252</v>
      </c>
      <c r="F316" s="99" t="s">
        <v>682</v>
      </c>
      <c r="G316" s="100" t="s">
        <v>96</v>
      </c>
      <c r="H316" s="74">
        <f>'Пр. 9'!I830</f>
        <v>173.2</v>
      </c>
      <c r="I316" s="74">
        <f>'Пр. 9'!J830</f>
        <v>173.2</v>
      </c>
      <c r="J316" s="101">
        <f t="shared" si="18"/>
        <v>0</v>
      </c>
      <c r="K316" s="74">
        <f>'Пр. 9'!L830</f>
        <v>173.2</v>
      </c>
      <c r="L316" s="74">
        <f>'Пр. 9'!M830</f>
        <v>173.2</v>
      </c>
    </row>
    <row r="317" spans="1:12" ht="30">
      <c r="A317" s="22" t="s">
        <v>688</v>
      </c>
      <c r="B317" s="100" t="s">
        <v>223</v>
      </c>
      <c r="C317" s="117">
        <v>2</v>
      </c>
      <c r="D317" s="100" t="s">
        <v>147</v>
      </c>
      <c r="E317" s="100" t="s">
        <v>252</v>
      </c>
      <c r="F317" s="99" t="s">
        <v>689</v>
      </c>
      <c r="G317" s="100" t="s">
        <v>227</v>
      </c>
      <c r="H317" s="74">
        <f>H318</f>
        <v>51470.8</v>
      </c>
      <c r="I317" s="74">
        <f>I318</f>
        <v>35032.8</v>
      </c>
      <c r="J317" s="101">
        <f t="shared" si="18"/>
        <v>-16438</v>
      </c>
      <c r="K317" s="74">
        <f>K318</f>
        <v>40699.5</v>
      </c>
      <c r="L317" s="74">
        <f>L318</f>
        <v>40697.700000000004</v>
      </c>
    </row>
    <row r="318" spans="1:12" ht="15">
      <c r="A318" s="102" t="s">
        <v>107</v>
      </c>
      <c r="B318" s="100" t="s">
        <v>223</v>
      </c>
      <c r="C318" s="117">
        <v>2</v>
      </c>
      <c r="D318" s="100" t="s">
        <v>147</v>
      </c>
      <c r="E318" s="100" t="s">
        <v>252</v>
      </c>
      <c r="F318" s="99" t="s">
        <v>689</v>
      </c>
      <c r="G318" s="100" t="s">
        <v>108</v>
      </c>
      <c r="H318" s="74">
        <f>'Пр. 9'!I1057</f>
        <v>51470.8</v>
      </c>
      <c r="I318" s="74">
        <f>'Пр. 9'!J1057</f>
        <v>35032.8</v>
      </c>
      <c r="J318" s="101">
        <f t="shared" si="18"/>
        <v>-16438</v>
      </c>
      <c r="K318" s="74">
        <f>'Пр. 9'!L1057</f>
        <v>40699.5</v>
      </c>
      <c r="L318" s="74">
        <f>'Пр. 9'!M1057</f>
        <v>40697.700000000004</v>
      </c>
    </row>
    <row r="319" spans="1:12" ht="45">
      <c r="A319" s="109" t="s">
        <v>1158</v>
      </c>
      <c r="B319" s="100" t="s">
        <v>223</v>
      </c>
      <c r="C319" s="100" t="s">
        <v>132</v>
      </c>
      <c r="D319" s="100" t="s">
        <v>147</v>
      </c>
      <c r="E319" s="100" t="s">
        <v>1159</v>
      </c>
      <c r="F319" s="99"/>
      <c r="G319" s="100"/>
      <c r="H319" s="74">
        <f>H320</f>
        <v>0</v>
      </c>
      <c r="I319" s="74">
        <f>I320</f>
        <v>16438</v>
      </c>
      <c r="J319" s="101">
        <f t="shared" si="18"/>
        <v>16438</v>
      </c>
      <c r="K319" s="74">
        <f>K320</f>
        <v>0</v>
      </c>
      <c r="L319" s="74">
        <f>L320</f>
        <v>0</v>
      </c>
    </row>
    <row r="320" spans="1:12" ht="30">
      <c r="A320" s="109" t="s">
        <v>688</v>
      </c>
      <c r="B320" s="100" t="s">
        <v>223</v>
      </c>
      <c r="C320" s="100" t="s">
        <v>132</v>
      </c>
      <c r="D320" s="100" t="s">
        <v>147</v>
      </c>
      <c r="E320" s="100" t="s">
        <v>1159</v>
      </c>
      <c r="F320" s="99" t="s">
        <v>689</v>
      </c>
      <c r="G320" s="100"/>
      <c r="H320" s="74">
        <f>H321</f>
        <v>0</v>
      </c>
      <c r="I320" s="74">
        <f>I321</f>
        <v>16438</v>
      </c>
      <c r="J320" s="101">
        <f t="shared" si="18"/>
        <v>16438</v>
      </c>
      <c r="K320" s="74">
        <f>K321</f>
        <v>0</v>
      </c>
      <c r="L320" s="74">
        <f>L321</f>
        <v>0</v>
      </c>
    </row>
    <row r="321" spans="1:12" ht="15">
      <c r="A321" s="102" t="s">
        <v>107</v>
      </c>
      <c r="B321" s="100" t="s">
        <v>223</v>
      </c>
      <c r="C321" s="100" t="s">
        <v>132</v>
      </c>
      <c r="D321" s="100" t="s">
        <v>147</v>
      </c>
      <c r="E321" s="100" t="s">
        <v>1159</v>
      </c>
      <c r="F321" s="99" t="s">
        <v>689</v>
      </c>
      <c r="G321" s="100" t="s">
        <v>108</v>
      </c>
      <c r="H321" s="74">
        <f>'Пр. 9'!I1059</f>
        <v>0</v>
      </c>
      <c r="I321" s="74">
        <f>'Пр. 9'!J1059</f>
        <v>16438</v>
      </c>
      <c r="J321" s="101">
        <f t="shared" si="18"/>
        <v>16438</v>
      </c>
      <c r="K321" s="74">
        <f>'Пр. 9'!L1059</f>
        <v>0</v>
      </c>
      <c r="L321" s="74">
        <f>'Пр. 9'!M1059</f>
        <v>0</v>
      </c>
    </row>
    <row r="322" spans="1:12" s="9" customFormat="1" ht="28.5">
      <c r="A322" s="116" t="s">
        <v>243</v>
      </c>
      <c r="B322" s="95" t="s">
        <v>223</v>
      </c>
      <c r="C322" s="94">
        <v>2</v>
      </c>
      <c r="D322" s="95" t="s">
        <v>160</v>
      </c>
      <c r="E322" s="95" t="s">
        <v>150</v>
      </c>
      <c r="F322" s="67"/>
      <c r="G322" s="95"/>
      <c r="H322" s="36">
        <f>H323+H326+H331</f>
        <v>2323.8</v>
      </c>
      <c r="I322" s="36">
        <f>I323+I326+I331</f>
        <v>2323.8</v>
      </c>
      <c r="J322" s="96">
        <f t="shared" si="18"/>
        <v>0</v>
      </c>
      <c r="K322" s="36">
        <f>K323+K326+K331</f>
        <v>618.4</v>
      </c>
      <c r="L322" s="36">
        <f>L323+L326+L331</f>
        <v>707.8</v>
      </c>
    </row>
    <row r="323" spans="1:12" ht="30">
      <c r="A323" s="122" t="s">
        <v>244</v>
      </c>
      <c r="B323" s="100" t="s">
        <v>223</v>
      </c>
      <c r="C323" s="117">
        <v>2</v>
      </c>
      <c r="D323" s="100" t="s">
        <v>160</v>
      </c>
      <c r="E323" s="100" t="s">
        <v>245</v>
      </c>
      <c r="F323" s="99"/>
      <c r="G323" s="100"/>
      <c r="H323" s="74">
        <f>H324</f>
        <v>150</v>
      </c>
      <c r="I323" s="74">
        <f>I324</f>
        <v>150</v>
      </c>
      <c r="J323" s="101">
        <f t="shared" si="18"/>
        <v>0</v>
      </c>
      <c r="K323" s="74">
        <f>K324</f>
        <v>0</v>
      </c>
      <c r="L323" s="74">
        <f>L324</f>
        <v>0</v>
      </c>
    </row>
    <row r="324" spans="1:12" ht="30">
      <c r="A324" s="22" t="s">
        <v>688</v>
      </c>
      <c r="B324" s="100" t="s">
        <v>223</v>
      </c>
      <c r="C324" s="117">
        <v>2</v>
      </c>
      <c r="D324" s="100" t="s">
        <v>160</v>
      </c>
      <c r="E324" s="100" t="s">
        <v>245</v>
      </c>
      <c r="F324" s="99" t="s">
        <v>689</v>
      </c>
      <c r="G324" s="100"/>
      <c r="H324" s="74">
        <f>H325</f>
        <v>150</v>
      </c>
      <c r="I324" s="74">
        <f>I325</f>
        <v>150</v>
      </c>
      <c r="J324" s="101">
        <f t="shared" si="18"/>
        <v>0</v>
      </c>
      <c r="K324" s="74">
        <f>K325</f>
        <v>0</v>
      </c>
      <c r="L324" s="74">
        <f>L325</f>
        <v>0</v>
      </c>
    </row>
    <row r="325" spans="1:12" ht="15">
      <c r="A325" s="102" t="s">
        <v>87</v>
      </c>
      <c r="B325" s="100" t="s">
        <v>223</v>
      </c>
      <c r="C325" s="117">
        <v>2</v>
      </c>
      <c r="D325" s="100" t="s">
        <v>160</v>
      </c>
      <c r="E325" s="100" t="s">
        <v>245</v>
      </c>
      <c r="F325" s="99" t="s">
        <v>689</v>
      </c>
      <c r="G325" s="100" t="s">
        <v>88</v>
      </c>
      <c r="H325" s="74">
        <f>'Пр. 9'!I909</f>
        <v>150</v>
      </c>
      <c r="I325" s="74">
        <f>'Пр. 9'!J909</f>
        <v>150</v>
      </c>
      <c r="J325" s="101">
        <f t="shared" si="18"/>
        <v>0</v>
      </c>
      <c r="K325" s="74">
        <f>'Пр. 9'!L909</f>
        <v>0</v>
      </c>
      <c r="L325" s="74">
        <f>'Пр. 9'!M909</f>
        <v>0</v>
      </c>
    </row>
    <row r="326" spans="1:12" ht="30">
      <c r="A326" s="122" t="s">
        <v>246</v>
      </c>
      <c r="B326" s="100" t="s">
        <v>223</v>
      </c>
      <c r="C326" s="117">
        <v>2</v>
      </c>
      <c r="D326" s="100" t="s">
        <v>160</v>
      </c>
      <c r="E326" s="100" t="s">
        <v>247</v>
      </c>
      <c r="F326" s="99"/>
      <c r="G326" s="100"/>
      <c r="H326" s="74">
        <f>H329+H327</f>
        <v>1358.2</v>
      </c>
      <c r="I326" s="74">
        <f>I329+I327</f>
        <v>1358.2</v>
      </c>
      <c r="J326" s="101">
        <f t="shared" si="18"/>
        <v>0</v>
      </c>
      <c r="K326" s="74">
        <f>K329+K327</f>
        <v>0</v>
      </c>
      <c r="L326" s="74">
        <f>L329+L327</f>
        <v>89.4</v>
      </c>
    </row>
    <row r="327" spans="1:12" ht="30">
      <c r="A327" s="122" t="s">
        <v>683</v>
      </c>
      <c r="B327" s="100" t="s">
        <v>223</v>
      </c>
      <c r="C327" s="117">
        <v>2</v>
      </c>
      <c r="D327" s="100" t="s">
        <v>160</v>
      </c>
      <c r="E327" s="100" t="s">
        <v>247</v>
      </c>
      <c r="F327" s="99" t="s">
        <v>682</v>
      </c>
      <c r="G327" s="100"/>
      <c r="H327" s="74">
        <f>H328</f>
        <v>0</v>
      </c>
      <c r="I327" s="74">
        <f>I328</f>
        <v>0</v>
      </c>
      <c r="J327" s="101">
        <f t="shared" si="18"/>
        <v>0</v>
      </c>
      <c r="K327" s="74">
        <f>K328</f>
        <v>0</v>
      </c>
      <c r="L327" s="74">
        <f>L328</f>
        <v>89.4</v>
      </c>
    </row>
    <row r="328" spans="1:12" ht="15">
      <c r="A328" s="102" t="s">
        <v>87</v>
      </c>
      <c r="B328" s="100" t="s">
        <v>223</v>
      </c>
      <c r="C328" s="117">
        <v>2</v>
      </c>
      <c r="D328" s="100" t="s">
        <v>160</v>
      </c>
      <c r="E328" s="100" t="s">
        <v>247</v>
      </c>
      <c r="F328" s="99" t="s">
        <v>682</v>
      </c>
      <c r="G328" s="100" t="s">
        <v>88</v>
      </c>
      <c r="H328" s="74">
        <f>'Пр. 9'!I911</f>
        <v>0</v>
      </c>
      <c r="I328" s="74">
        <f>'Пр. 9'!J911</f>
        <v>0</v>
      </c>
      <c r="J328" s="101">
        <f t="shared" si="18"/>
        <v>0</v>
      </c>
      <c r="K328" s="74">
        <f>'Пр. 9'!L911</f>
        <v>0</v>
      </c>
      <c r="L328" s="74">
        <f>'Пр. 9'!M911</f>
        <v>89.4</v>
      </c>
    </row>
    <row r="329" spans="1:12" ht="30">
      <c r="A329" s="22" t="s">
        <v>688</v>
      </c>
      <c r="B329" s="100" t="s">
        <v>223</v>
      </c>
      <c r="C329" s="117">
        <v>2</v>
      </c>
      <c r="D329" s="100" t="s">
        <v>160</v>
      </c>
      <c r="E329" s="100" t="s">
        <v>247</v>
      </c>
      <c r="F329" s="99" t="s">
        <v>689</v>
      </c>
      <c r="G329" s="100"/>
      <c r="H329" s="74">
        <f>H330</f>
        <v>1358.2</v>
      </c>
      <c r="I329" s="74">
        <f>I330</f>
        <v>1358.2</v>
      </c>
      <c r="J329" s="101">
        <f t="shared" si="18"/>
        <v>0</v>
      </c>
      <c r="K329" s="74">
        <f>K330</f>
        <v>0</v>
      </c>
      <c r="L329" s="74">
        <f>L330</f>
        <v>0</v>
      </c>
    </row>
    <row r="330" spans="1:12" ht="15">
      <c r="A330" s="102" t="s">
        <v>87</v>
      </c>
      <c r="B330" s="100" t="s">
        <v>223</v>
      </c>
      <c r="C330" s="117">
        <v>2</v>
      </c>
      <c r="D330" s="100" t="s">
        <v>160</v>
      </c>
      <c r="E330" s="100" t="s">
        <v>247</v>
      </c>
      <c r="F330" s="99" t="s">
        <v>689</v>
      </c>
      <c r="G330" s="100" t="s">
        <v>88</v>
      </c>
      <c r="H330" s="74">
        <f>'Пр. 9'!I912</f>
        <v>1358.2</v>
      </c>
      <c r="I330" s="74">
        <f>'Пр. 9'!J912</f>
        <v>1358.2</v>
      </c>
      <c r="J330" s="101">
        <f t="shared" si="18"/>
        <v>0</v>
      </c>
      <c r="K330" s="74">
        <f>'Пр. 9'!L912</f>
        <v>0</v>
      </c>
      <c r="L330" s="74">
        <f>'Пр. 9'!M912</f>
        <v>0</v>
      </c>
    </row>
    <row r="331" spans="1:12" ht="30">
      <c r="A331" s="109" t="s">
        <v>962</v>
      </c>
      <c r="B331" s="100" t="s">
        <v>223</v>
      </c>
      <c r="C331" s="100" t="s">
        <v>132</v>
      </c>
      <c r="D331" s="100" t="s">
        <v>160</v>
      </c>
      <c r="E331" s="100" t="s">
        <v>961</v>
      </c>
      <c r="F331" s="99"/>
      <c r="G331" s="100"/>
      <c r="H331" s="74">
        <f>H332</f>
        <v>815.6</v>
      </c>
      <c r="I331" s="74">
        <f>I332</f>
        <v>815.6</v>
      </c>
      <c r="J331" s="101">
        <f t="shared" si="18"/>
        <v>0</v>
      </c>
      <c r="K331" s="74">
        <f>K332</f>
        <v>618.4</v>
      </c>
      <c r="L331" s="74">
        <f>L332</f>
        <v>618.4</v>
      </c>
    </row>
    <row r="332" spans="1:12" ht="30">
      <c r="A332" s="109" t="s">
        <v>688</v>
      </c>
      <c r="B332" s="100" t="s">
        <v>223</v>
      </c>
      <c r="C332" s="100" t="s">
        <v>132</v>
      </c>
      <c r="D332" s="100" t="s">
        <v>160</v>
      </c>
      <c r="E332" s="100" t="s">
        <v>961</v>
      </c>
      <c r="F332" s="99" t="s">
        <v>689</v>
      </c>
      <c r="G332" s="100"/>
      <c r="H332" s="74">
        <f>H333</f>
        <v>815.6</v>
      </c>
      <c r="I332" s="74">
        <f>I333</f>
        <v>815.6</v>
      </c>
      <c r="J332" s="101">
        <f t="shared" si="18"/>
        <v>0</v>
      </c>
      <c r="K332" s="74">
        <f>K333</f>
        <v>618.4</v>
      </c>
      <c r="L332" s="74">
        <f>L333</f>
        <v>618.4</v>
      </c>
    </row>
    <row r="333" spans="1:12" ht="15">
      <c r="A333" s="102" t="s">
        <v>87</v>
      </c>
      <c r="B333" s="100" t="s">
        <v>223</v>
      </c>
      <c r="C333" s="100" t="s">
        <v>132</v>
      </c>
      <c r="D333" s="100" t="s">
        <v>160</v>
      </c>
      <c r="E333" s="100" t="s">
        <v>961</v>
      </c>
      <c r="F333" s="99" t="s">
        <v>689</v>
      </c>
      <c r="G333" s="100" t="s">
        <v>88</v>
      </c>
      <c r="H333" s="74">
        <f>'Пр. 9'!I914</f>
        <v>815.6</v>
      </c>
      <c r="I333" s="74">
        <f>'Пр. 9'!J914</f>
        <v>815.6</v>
      </c>
      <c r="J333" s="101">
        <f t="shared" si="18"/>
        <v>0</v>
      </c>
      <c r="K333" s="74">
        <f>'Пр. 9'!L914</f>
        <v>618.4</v>
      </c>
      <c r="L333" s="74">
        <f>'Пр. 9'!M914</f>
        <v>618.4</v>
      </c>
    </row>
    <row r="334" spans="1:12" s="9" customFormat="1" ht="28.5">
      <c r="A334" s="116" t="s">
        <v>253</v>
      </c>
      <c r="B334" s="95" t="s">
        <v>223</v>
      </c>
      <c r="C334" s="94">
        <v>2</v>
      </c>
      <c r="D334" s="95" t="s">
        <v>174</v>
      </c>
      <c r="E334" s="95" t="s">
        <v>150</v>
      </c>
      <c r="F334" s="67"/>
      <c r="G334" s="95"/>
      <c r="H334" s="36">
        <f>H335+H339+H342+H345+H348+H351+H354+H360+H357+H363+H366+H369+H372</f>
        <v>436842.60000000003</v>
      </c>
      <c r="I334" s="36">
        <f>I335+I339+I342+I345+I348+I351+I354+I360+I357+I363+I366+I369+I372</f>
        <v>449287.89999999997</v>
      </c>
      <c r="J334" s="96">
        <f t="shared" si="18"/>
        <v>12445.29999999993</v>
      </c>
      <c r="K334" s="36">
        <f>K335+K339+K342+K345+K348+K351+K354+K360+K357+K363+K366+K369+K372</f>
        <v>343821.6</v>
      </c>
      <c r="L334" s="36">
        <f>L335+L339+L342+L345+L348+L351+L354+L360+L357+L363+L366+L369+L372</f>
        <v>279420.9</v>
      </c>
    </row>
    <row r="335" spans="1:12" ht="30">
      <c r="A335" s="22" t="s">
        <v>248</v>
      </c>
      <c r="B335" s="100" t="s">
        <v>223</v>
      </c>
      <c r="C335" s="117">
        <v>2</v>
      </c>
      <c r="D335" s="100" t="s">
        <v>174</v>
      </c>
      <c r="E335" s="100" t="s">
        <v>870</v>
      </c>
      <c r="F335" s="99"/>
      <c r="G335" s="100"/>
      <c r="H335" s="74">
        <f>H336</f>
        <v>12785.3</v>
      </c>
      <c r="I335" s="74">
        <f>I336</f>
        <v>12785.3</v>
      </c>
      <c r="J335" s="101">
        <f t="shared" si="18"/>
        <v>0</v>
      </c>
      <c r="K335" s="74">
        <f>K336</f>
        <v>10539.3</v>
      </c>
      <c r="L335" s="74">
        <f>L336</f>
        <v>10539.4</v>
      </c>
    </row>
    <row r="336" spans="1:12" ht="30">
      <c r="A336" s="22" t="s">
        <v>688</v>
      </c>
      <c r="B336" s="100" t="s">
        <v>223</v>
      </c>
      <c r="C336" s="117">
        <v>2</v>
      </c>
      <c r="D336" s="100" t="s">
        <v>174</v>
      </c>
      <c r="E336" s="100" t="s">
        <v>870</v>
      </c>
      <c r="F336" s="99" t="s">
        <v>689</v>
      </c>
      <c r="G336" s="100"/>
      <c r="H336" s="74">
        <f>H337+H338</f>
        <v>12785.3</v>
      </c>
      <c r="I336" s="74">
        <f>I337+I338</f>
        <v>12785.3</v>
      </c>
      <c r="J336" s="101">
        <f t="shared" si="18"/>
        <v>0</v>
      </c>
      <c r="K336" s="74">
        <f>K337+K338</f>
        <v>10539.3</v>
      </c>
      <c r="L336" s="74">
        <f>L337+L338</f>
        <v>10539.4</v>
      </c>
    </row>
    <row r="337" spans="1:12" ht="15">
      <c r="A337" s="102" t="s">
        <v>87</v>
      </c>
      <c r="B337" s="100" t="s">
        <v>223</v>
      </c>
      <c r="C337" s="117">
        <v>2</v>
      </c>
      <c r="D337" s="100" t="s">
        <v>174</v>
      </c>
      <c r="E337" s="100" t="s">
        <v>870</v>
      </c>
      <c r="F337" s="99" t="s">
        <v>689</v>
      </c>
      <c r="G337" s="100" t="s">
        <v>88</v>
      </c>
      <c r="H337" s="74">
        <f>'Пр. 9'!I917</f>
        <v>12785.3</v>
      </c>
      <c r="I337" s="74">
        <f>'Пр. 9'!J917</f>
        <v>12785.3</v>
      </c>
      <c r="J337" s="101">
        <f t="shared" si="18"/>
        <v>0</v>
      </c>
      <c r="K337" s="74">
        <f>'Пр. 9'!L917</f>
        <v>10539.3</v>
      </c>
      <c r="L337" s="74">
        <f>'Пр. 9'!M917</f>
        <v>10539.4</v>
      </c>
    </row>
    <row r="338" spans="1:12" ht="15" hidden="1">
      <c r="A338" s="22" t="s">
        <v>95</v>
      </c>
      <c r="B338" s="100" t="s">
        <v>223</v>
      </c>
      <c r="C338" s="117">
        <v>2</v>
      </c>
      <c r="D338" s="100" t="s">
        <v>174</v>
      </c>
      <c r="E338" s="100" t="s">
        <v>870</v>
      </c>
      <c r="F338" s="99" t="s">
        <v>689</v>
      </c>
      <c r="G338" s="100" t="s">
        <v>96</v>
      </c>
      <c r="H338" s="74">
        <f>'Пр. 9'!I1012</f>
        <v>0</v>
      </c>
      <c r="I338" s="74">
        <f>'Пр. 9'!J1012</f>
        <v>0</v>
      </c>
      <c r="J338" s="101">
        <f t="shared" si="18"/>
        <v>0</v>
      </c>
      <c r="K338" s="74">
        <f>'Пр. 9'!L1012</f>
        <v>0</v>
      </c>
      <c r="L338" s="74">
        <f>'Пр. 9'!M1012</f>
        <v>0</v>
      </c>
    </row>
    <row r="339" spans="1:12" ht="30" hidden="1">
      <c r="A339" s="109" t="s">
        <v>729</v>
      </c>
      <c r="B339" s="100" t="s">
        <v>223</v>
      </c>
      <c r="C339" s="100" t="s">
        <v>132</v>
      </c>
      <c r="D339" s="100" t="s">
        <v>174</v>
      </c>
      <c r="E339" s="100" t="s">
        <v>730</v>
      </c>
      <c r="F339" s="99"/>
      <c r="G339" s="100"/>
      <c r="H339" s="74">
        <f>H340</f>
        <v>0</v>
      </c>
      <c r="I339" s="74">
        <f>I340</f>
        <v>0</v>
      </c>
      <c r="J339" s="101">
        <f t="shared" si="18"/>
        <v>0</v>
      </c>
      <c r="K339" s="74">
        <f>K340</f>
        <v>0</v>
      </c>
      <c r="L339" s="74">
        <f>L340</f>
        <v>0</v>
      </c>
    </row>
    <row r="340" spans="1:12" ht="30" hidden="1">
      <c r="A340" s="109" t="s">
        <v>688</v>
      </c>
      <c r="B340" s="100" t="s">
        <v>223</v>
      </c>
      <c r="C340" s="100" t="s">
        <v>132</v>
      </c>
      <c r="D340" s="100" t="s">
        <v>174</v>
      </c>
      <c r="E340" s="100" t="s">
        <v>730</v>
      </c>
      <c r="F340" s="99" t="s">
        <v>689</v>
      </c>
      <c r="G340" s="100"/>
      <c r="H340" s="74">
        <f>H341</f>
        <v>0</v>
      </c>
      <c r="I340" s="74">
        <f>I341</f>
        <v>0</v>
      </c>
      <c r="J340" s="101">
        <f t="shared" si="18"/>
        <v>0</v>
      </c>
      <c r="K340" s="74">
        <f>K341</f>
        <v>0</v>
      </c>
      <c r="L340" s="74">
        <f>L341</f>
        <v>0</v>
      </c>
    </row>
    <row r="341" spans="1:12" ht="15" hidden="1">
      <c r="A341" s="102" t="s">
        <v>87</v>
      </c>
      <c r="B341" s="100" t="s">
        <v>223</v>
      </c>
      <c r="C341" s="100" t="s">
        <v>132</v>
      </c>
      <c r="D341" s="100" t="s">
        <v>174</v>
      </c>
      <c r="E341" s="100" t="s">
        <v>730</v>
      </c>
      <c r="F341" s="99" t="s">
        <v>689</v>
      </c>
      <c r="G341" s="100" t="s">
        <v>88</v>
      </c>
      <c r="H341" s="74">
        <f>'Пр. 9'!I919</f>
        <v>0</v>
      </c>
      <c r="I341" s="74">
        <f>'Пр. 9'!J919</f>
        <v>0</v>
      </c>
      <c r="J341" s="101">
        <f t="shared" si="18"/>
        <v>0</v>
      </c>
      <c r="K341" s="74">
        <f>'Пр. 9'!L919</f>
        <v>0</v>
      </c>
      <c r="L341" s="74">
        <f>'Пр. 9'!M919</f>
        <v>0</v>
      </c>
    </row>
    <row r="342" spans="1:12" ht="15">
      <c r="A342" s="102" t="s">
        <v>201</v>
      </c>
      <c r="B342" s="100" t="s">
        <v>223</v>
      </c>
      <c r="C342" s="117">
        <v>2</v>
      </c>
      <c r="D342" s="100" t="s">
        <v>174</v>
      </c>
      <c r="E342" s="100" t="s">
        <v>202</v>
      </c>
      <c r="F342" s="99"/>
      <c r="G342" s="100"/>
      <c r="H342" s="74">
        <f>H343</f>
        <v>17301.2</v>
      </c>
      <c r="I342" s="74">
        <f>I343</f>
        <v>17294</v>
      </c>
      <c r="J342" s="101">
        <f t="shared" si="18"/>
        <v>-7.200000000000728</v>
      </c>
      <c r="K342" s="74">
        <f>K343</f>
        <v>1060</v>
      </c>
      <c r="L342" s="74">
        <f>L343</f>
        <v>0</v>
      </c>
    </row>
    <row r="343" spans="1:12" ht="30">
      <c r="A343" s="22" t="s">
        <v>688</v>
      </c>
      <c r="B343" s="100" t="s">
        <v>223</v>
      </c>
      <c r="C343" s="117">
        <v>2</v>
      </c>
      <c r="D343" s="100" t="s">
        <v>174</v>
      </c>
      <c r="E343" s="100" t="s">
        <v>202</v>
      </c>
      <c r="F343" s="99" t="s">
        <v>689</v>
      </c>
      <c r="G343" s="100"/>
      <c r="H343" s="74">
        <f>H344</f>
        <v>17301.2</v>
      </c>
      <c r="I343" s="74">
        <f>I344</f>
        <v>17294</v>
      </c>
      <c r="J343" s="101">
        <f t="shared" si="18"/>
        <v>-7.200000000000728</v>
      </c>
      <c r="K343" s="74">
        <f>K344</f>
        <v>1060</v>
      </c>
      <c r="L343" s="74">
        <f>L344</f>
        <v>0</v>
      </c>
    </row>
    <row r="344" spans="1:12" ht="15">
      <c r="A344" s="102" t="s">
        <v>87</v>
      </c>
      <c r="B344" s="100" t="s">
        <v>223</v>
      </c>
      <c r="C344" s="117">
        <v>2</v>
      </c>
      <c r="D344" s="100" t="s">
        <v>174</v>
      </c>
      <c r="E344" s="100" t="s">
        <v>202</v>
      </c>
      <c r="F344" s="99" t="s">
        <v>689</v>
      </c>
      <c r="G344" s="100" t="s">
        <v>88</v>
      </c>
      <c r="H344" s="74">
        <f>'Пр. 9'!I921</f>
        <v>17301.2</v>
      </c>
      <c r="I344" s="74">
        <f>'Пр. 9'!J921</f>
        <v>17294</v>
      </c>
      <c r="J344" s="101">
        <f t="shared" si="18"/>
        <v>-7.200000000000728</v>
      </c>
      <c r="K344" s="74">
        <f>'Пр. 9'!L921</f>
        <v>1060</v>
      </c>
      <c r="L344" s="74">
        <f>'Пр. 9'!M921</f>
        <v>0</v>
      </c>
    </row>
    <row r="345" spans="1:12" ht="30">
      <c r="A345" s="122" t="s">
        <v>254</v>
      </c>
      <c r="B345" s="100" t="s">
        <v>223</v>
      </c>
      <c r="C345" s="117">
        <v>2</v>
      </c>
      <c r="D345" s="100" t="s">
        <v>174</v>
      </c>
      <c r="E345" s="100" t="s">
        <v>255</v>
      </c>
      <c r="F345" s="99"/>
      <c r="G345" s="100"/>
      <c r="H345" s="74">
        <f>H346</f>
        <v>1302.2</v>
      </c>
      <c r="I345" s="74">
        <f>I346</f>
        <v>3713.7000000000003</v>
      </c>
      <c r="J345" s="101">
        <f t="shared" si="18"/>
        <v>2411.5</v>
      </c>
      <c r="K345" s="74">
        <f>K346</f>
        <v>1777.8</v>
      </c>
      <c r="L345" s="74">
        <f>L346</f>
        <v>0</v>
      </c>
    </row>
    <row r="346" spans="1:12" ht="30">
      <c r="A346" s="22" t="s">
        <v>688</v>
      </c>
      <c r="B346" s="100" t="s">
        <v>223</v>
      </c>
      <c r="C346" s="117">
        <v>2</v>
      </c>
      <c r="D346" s="100" t="s">
        <v>174</v>
      </c>
      <c r="E346" s="100" t="s">
        <v>255</v>
      </c>
      <c r="F346" s="99" t="s">
        <v>689</v>
      </c>
      <c r="G346" s="100"/>
      <c r="H346" s="74">
        <f>H347</f>
        <v>1302.2</v>
      </c>
      <c r="I346" s="74">
        <f>I347</f>
        <v>3713.7000000000003</v>
      </c>
      <c r="J346" s="101">
        <f t="shared" si="18"/>
        <v>2411.5</v>
      </c>
      <c r="K346" s="74">
        <f>K347</f>
        <v>1777.8</v>
      </c>
      <c r="L346" s="74">
        <f>L347</f>
        <v>0</v>
      </c>
    </row>
    <row r="347" spans="1:12" ht="15">
      <c r="A347" s="102" t="s">
        <v>87</v>
      </c>
      <c r="B347" s="100" t="s">
        <v>223</v>
      </c>
      <c r="C347" s="117">
        <v>2</v>
      </c>
      <c r="D347" s="100" t="s">
        <v>174</v>
      </c>
      <c r="E347" s="100" t="s">
        <v>255</v>
      </c>
      <c r="F347" s="99" t="s">
        <v>689</v>
      </c>
      <c r="G347" s="100" t="s">
        <v>88</v>
      </c>
      <c r="H347" s="74">
        <f>'Пр. 9'!I923</f>
        <v>1302.2</v>
      </c>
      <c r="I347" s="74">
        <f>'Пр. 9'!J923</f>
        <v>3713.7000000000003</v>
      </c>
      <c r="J347" s="101">
        <f t="shared" si="18"/>
        <v>2411.5</v>
      </c>
      <c r="K347" s="74">
        <f>'Пр. 9'!L923</f>
        <v>1777.8</v>
      </c>
      <c r="L347" s="74">
        <f>'Пр. 9'!M923</f>
        <v>0</v>
      </c>
    </row>
    <row r="348" spans="1:12" ht="15">
      <c r="A348" s="102" t="s">
        <v>925</v>
      </c>
      <c r="B348" s="100" t="s">
        <v>223</v>
      </c>
      <c r="C348" s="117">
        <v>2</v>
      </c>
      <c r="D348" s="100" t="s">
        <v>174</v>
      </c>
      <c r="E348" s="100" t="s">
        <v>238</v>
      </c>
      <c r="F348" s="99"/>
      <c r="G348" s="100"/>
      <c r="H348" s="74">
        <f>H349</f>
        <v>4127.6</v>
      </c>
      <c r="I348" s="74">
        <f>I349</f>
        <v>4127.6</v>
      </c>
      <c r="J348" s="101">
        <f t="shared" si="18"/>
        <v>0</v>
      </c>
      <c r="K348" s="74">
        <f>K349</f>
        <v>3000</v>
      </c>
      <c r="L348" s="74">
        <f>L349</f>
        <v>0</v>
      </c>
    </row>
    <row r="349" spans="1:12" ht="30">
      <c r="A349" s="22" t="s">
        <v>688</v>
      </c>
      <c r="B349" s="100" t="s">
        <v>223</v>
      </c>
      <c r="C349" s="117">
        <v>2</v>
      </c>
      <c r="D349" s="100" t="s">
        <v>174</v>
      </c>
      <c r="E349" s="100" t="s">
        <v>238</v>
      </c>
      <c r="F349" s="99" t="s">
        <v>689</v>
      </c>
      <c r="G349" s="100"/>
      <c r="H349" s="74">
        <f>H350</f>
        <v>4127.6</v>
      </c>
      <c r="I349" s="74">
        <f>I350</f>
        <v>4127.6</v>
      </c>
      <c r="J349" s="101">
        <f aca="true" t="shared" si="20" ref="J349:J425">I349-H349</f>
        <v>0</v>
      </c>
      <c r="K349" s="74">
        <f>K350</f>
        <v>3000</v>
      </c>
      <c r="L349" s="74">
        <f>L350</f>
        <v>0</v>
      </c>
    </row>
    <row r="350" spans="1:12" ht="15">
      <c r="A350" s="102" t="s">
        <v>87</v>
      </c>
      <c r="B350" s="100" t="s">
        <v>223</v>
      </c>
      <c r="C350" s="117">
        <v>2</v>
      </c>
      <c r="D350" s="100" t="s">
        <v>174</v>
      </c>
      <c r="E350" s="100" t="s">
        <v>238</v>
      </c>
      <c r="F350" s="99" t="s">
        <v>689</v>
      </c>
      <c r="G350" s="100" t="s">
        <v>88</v>
      </c>
      <c r="H350" s="74">
        <f>'Пр. 9'!I925</f>
        <v>4127.6</v>
      </c>
      <c r="I350" s="74">
        <f>'Пр. 9'!J925</f>
        <v>4127.6</v>
      </c>
      <c r="J350" s="101">
        <f t="shared" si="20"/>
        <v>0</v>
      </c>
      <c r="K350" s="74">
        <f>'Пр. 9'!L925</f>
        <v>3000</v>
      </c>
      <c r="L350" s="74">
        <f>'Пр. 9'!M925</f>
        <v>0</v>
      </c>
    </row>
    <row r="351" spans="1:12" ht="45" hidden="1">
      <c r="A351" s="109" t="s">
        <v>256</v>
      </c>
      <c r="B351" s="100" t="s">
        <v>223</v>
      </c>
      <c r="C351" s="100" t="s">
        <v>132</v>
      </c>
      <c r="D351" s="100" t="s">
        <v>174</v>
      </c>
      <c r="E351" s="100" t="s">
        <v>698</v>
      </c>
      <c r="F351" s="99"/>
      <c r="G351" s="100"/>
      <c r="H351" s="74">
        <f>H352</f>
        <v>0</v>
      </c>
      <c r="I351" s="74">
        <f>I352</f>
        <v>0</v>
      </c>
      <c r="J351" s="101">
        <f t="shared" si="20"/>
        <v>0</v>
      </c>
      <c r="K351" s="74">
        <f>K352</f>
        <v>0</v>
      </c>
      <c r="L351" s="74">
        <f>L352</f>
        <v>0</v>
      </c>
    </row>
    <row r="352" spans="1:12" ht="30" hidden="1">
      <c r="A352" s="109" t="s">
        <v>688</v>
      </c>
      <c r="B352" s="100" t="s">
        <v>223</v>
      </c>
      <c r="C352" s="100" t="s">
        <v>132</v>
      </c>
      <c r="D352" s="100" t="s">
        <v>174</v>
      </c>
      <c r="E352" s="100" t="s">
        <v>698</v>
      </c>
      <c r="F352" s="99" t="s">
        <v>689</v>
      </c>
      <c r="G352" s="100"/>
      <c r="H352" s="74">
        <f>H353</f>
        <v>0</v>
      </c>
      <c r="I352" s="74">
        <f>I353</f>
        <v>0</v>
      </c>
      <c r="J352" s="101">
        <f t="shared" si="20"/>
        <v>0</v>
      </c>
      <c r="K352" s="74">
        <f>K353</f>
        <v>0</v>
      </c>
      <c r="L352" s="74">
        <f>L353</f>
        <v>0</v>
      </c>
    </row>
    <row r="353" spans="1:12" ht="15" hidden="1">
      <c r="A353" s="102" t="s">
        <v>87</v>
      </c>
      <c r="B353" s="100" t="s">
        <v>223</v>
      </c>
      <c r="C353" s="100" t="s">
        <v>132</v>
      </c>
      <c r="D353" s="100" t="s">
        <v>174</v>
      </c>
      <c r="E353" s="100" t="s">
        <v>698</v>
      </c>
      <c r="F353" s="99" t="s">
        <v>689</v>
      </c>
      <c r="G353" s="100" t="s">
        <v>88</v>
      </c>
      <c r="H353" s="74">
        <f>'Пр. 9'!I927</f>
        <v>0</v>
      </c>
      <c r="I353" s="74">
        <f>'Пр. 9'!J927</f>
        <v>0</v>
      </c>
      <c r="J353" s="101">
        <f t="shared" si="20"/>
        <v>0</v>
      </c>
      <c r="K353" s="74">
        <f>'Пр. 9'!L927</f>
        <v>0</v>
      </c>
      <c r="L353" s="74">
        <f>'Пр. 9'!M927</f>
        <v>0</v>
      </c>
    </row>
    <row r="354" spans="1:12" ht="23.25" customHeight="1">
      <c r="A354" s="22" t="s">
        <v>257</v>
      </c>
      <c r="B354" s="100" t="s">
        <v>223</v>
      </c>
      <c r="C354" s="117">
        <v>2</v>
      </c>
      <c r="D354" s="100" t="s">
        <v>174</v>
      </c>
      <c r="E354" s="100" t="s">
        <v>258</v>
      </c>
      <c r="F354" s="99"/>
      <c r="G354" s="100"/>
      <c r="H354" s="74">
        <f>H355</f>
        <v>96559.09999999999</v>
      </c>
      <c r="I354" s="74">
        <f>I355</f>
        <v>96559.09999999999</v>
      </c>
      <c r="J354" s="101">
        <f t="shared" si="20"/>
        <v>0</v>
      </c>
      <c r="K354" s="74">
        <f>K355</f>
        <v>0</v>
      </c>
      <c r="L354" s="74">
        <f>L355</f>
        <v>0</v>
      </c>
    </row>
    <row r="355" spans="1:12" ht="36" customHeight="1">
      <c r="A355" s="22" t="s">
        <v>688</v>
      </c>
      <c r="B355" s="100" t="s">
        <v>223</v>
      </c>
      <c r="C355" s="117">
        <v>2</v>
      </c>
      <c r="D355" s="100" t="s">
        <v>174</v>
      </c>
      <c r="E355" s="100" t="s">
        <v>258</v>
      </c>
      <c r="F355" s="99" t="s">
        <v>689</v>
      </c>
      <c r="G355" s="100"/>
      <c r="H355" s="74">
        <f>H356</f>
        <v>96559.09999999999</v>
      </c>
      <c r="I355" s="74">
        <f>I356</f>
        <v>96559.09999999999</v>
      </c>
      <c r="J355" s="101">
        <f t="shared" si="20"/>
        <v>0</v>
      </c>
      <c r="K355" s="74">
        <f>K356</f>
        <v>0</v>
      </c>
      <c r="L355" s="74">
        <f>L356</f>
        <v>0</v>
      </c>
    </row>
    <row r="356" spans="1:12" ht="21" customHeight="1">
      <c r="A356" s="102" t="s">
        <v>87</v>
      </c>
      <c r="B356" s="100" t="s">
        <v>223</v>
      </c>
      <c r="C356" s="117">
        <v>2</v>
      </c>
      <c r="D356" s="100" t="s">
        <v>174</v>
      </c>
      <c r="E356" s="100" t="s">
        <v>258</v>
      </c>
      <c r="F356" s="99" t="s">
        <v>689</v>
      </c>
      <c r="G356" s="100" t="s">
        <v>88</v>
      </c>
      <c r="H356" s="74">
        <f>'Пр. 9'!I929</f>
        <v>96559.09999999999</v>
      </c>
      <c r="I356" s="74">
        <f>'Пр. 9'!J929</f>
        <v>96559.09999999999</v>
      </c>
      <c r="J356" s="101">
        <f t="shared" si="20"/>
        <v>0</v>
      </c>
      <c r="K356" s="74">
        <f>'Пр. 9'!L929</f>
        <v>0</v>
      </c>
      <c r="L356" s="74">
        <f>'Пр. 9'!M929</f>
        <v>0</v>
      </c>
    </row>
    <row r="357" spans="1:12" ht="30">
      <c r="A357" s="109" t="s">
        <v>920</v>
      </c>
      <c r="B357" s="100" t="s">
        <v>223</v>
      </c>
      <c r="C357" s="100" t="s">
        <v>132</v>
      </c>
      <c r="D357" s="100" t="s">
        <v>174</v>
      </c>
      <c r="E357" s="100" t="s">
        <v>921</v>
      </c>
      <c r="F357" s="99"/>
      <c r="G357" s="100"/>
      <c r="H357" s="74">
        <f>H358</f>
        <v>272456</v>
      </c>
      <c r="I357" s="74">
        <f>I358</f>
        <v>272456</v>
      </c>
      <c r="J357" s="101">
        <f t="shared" si="20"/>
        <v>0</v>
      </c>
      <c r="K357" s="74">
        <f>K358</f>
        <v>303000</v>
      </c>
      <c r="L357" s="74">
        <f>L358</f>
        <v>244437</v>
      </c>
    </row>
    <row r="358" spans="1:12" ht="30">
      <c r="A358" s="109" t="s">
        <v>696</v>
      </c>
      <c r="B358" s="100" t="s">
        <v>223</v>
      </c>
      <c r="C358" s="100" t="s">
        <v>132</v>
      </c>
      <c r="D358" s="100" t="s">
        <v>174</v>
      </c>
      <c r="E358" s="100" t="s">
        <v>921</v>
      </c>
      <c r="F358" s="99" t="s">
        <v>693</v>
      </c>
      <c r="G358" s="100"/>
      <c r="H358" s="74">
        <f>H359</f>
        <v>272456</v>
      </c>
      <c r="I358" s="74">
        <f>I359</f>
        <v>272456</v>
      </c>
      <c r="J358" s="101">
        <f t="shared" si="20"/>
        <v>0</v>
      </c>
      <c r="K358" s="74">
        <f>K359</f>
        <v>303000</v>
      </c>
      <c r="L358" s="74">
        <f>L359</f>
        <v>244437</v>
      </c>
    </row>
    <row r="359" spans="1:12" ht="15">
      <c r="A359" s="102" t="s">
        <v>87</v>
      </c>
      <c r="B359" s="100" t="s">
        <v>223</v>
      </c>
      <c r="C359" s="100" t="s">
        <v>132</v>
      </c>
      <c r="D359" s="100" t="s">
        <v>174</v>
      </c>
      <c r="E359" s="100" t="s">
        <v>921</v>
      </c>
      <c r="F359" s="99" t="s">
        <v>693</v>
      </c>
      <c r="G359" s="100" t="s">
        <v>88</v>
      </c>
      <c r="H359" s="74">
        <f>'Пр. 9'!I931</f>
        <v>272456</v>
      </c>
      <c r="I359" s="74">
        <f>'Пр. 9'!J931</f>
        <v>272456</v>
      </c>
      <c r="J359" s="101">
        <f t="shared" si="20"/>
        <v>0</v>
      </c>
      <c r="K359" s="74">
        <f>'Пр. 9'!L931</f>
        <v>303000</v>
      </c>
      <c r="L359" s="74">
        <f>'Пр. 9'!M931</f>
        <v>244437</v>
      </c>
    </row>
    <row r="360" spans="1:12" ht="30" hidden="1">
      <c r="A360" s="109" t="s">
        <v>920</v>
      </c>
      <c r="B360" s="100" t="s">
        <v>223</v>
      </c>
      <c r="C360" s="100" t="s">
        <v>132</v>
      </c>
      <c r="D360" s="100" t="s">
        <v>174</v>
      </c>
      <c r="E360" s="100" t="s">
        <v>921</v>
      </c>
      <c r="F360" s="99"/>
      <c r="G360" s="100"/>
      <c r="H360" s="74">
        <f>H361</f>
        <v>0</v>
      </c>
      <c r="I360" s="74">
        <f>I361</f>
        <v>0</v>
      </c>
      <c r="J360" s="101">
        <f t="shared" si="20"/>
        <v>0</v>
      </c>
      <c r="K360" s="74">
        <f>K361</f>
        <v>0</v>
      </c>
      <c r="L360" s="74">
        <f>L361</f>
        <v>0</v>
      </c>
    </row>
    <row r="361" spans="1:12" ht="30" hidden="1">
      <c r="A361" s="109" t="s">
        <v>688</v>
      </c>
      <c r="B361" s="100" t="s">
        <v>223</v>
      </c>
      <c r="C361" s="100" t="s">
        <v>132</v>
      </c>
      <c r="D361" s="100" t="s">
        <v>174</v>
      </c>
      <c r="E361" s="100" t="s">
        <v>921</v>
      </c>
      <c r="F361" s="99" t="s">
        <v>689</v>
      </c>
      <c r="G361" s="100"/>
      <c r="H361" s="74">
        <f>H362</f>
        <v>0</v>
      </c>
      <c r="I361" s="74">
        <f>I362</f>
        <v>0</v>
      </c>
      <c r="J361" s="101">
        <f t="shared" si="20"/>
        <v>0</v>
      </c>
      <c r="K361" s="74">
        <f>K362</f>
        <v>0</v>
      </c>
      <c r="L361" s="74">
        <f>L362</f>
        <v>0</v>
      </c>
    </row>
    <row r="362" spans="1:12" ht="15" hidden="1">
      <c r="A362" s="102" t="s">
        <v>87</v>
      </c>
      <c r="B362" s="100" t="s">
        <v>223</v>
      </c>
      <c r="C362" s="100" t="s">
        <v>132</v>
      </c>
      <c r="D362" s="100" t="s">
        <v>174</v>
      </c>
      <c r="E362" s="100" t="s">
        <v>921</v>
      </c>
      <c r="F362" s="99" t="s">
        <v>689</v>
      </c>
      <c r="G362" s="100" t="s">
        <v>88</v>
      </c>
      <c r="H362" s="74">
        <f>'Пр. 9'!I933</f>
        <v>0</v>
      </c>
      <c r="I362" s="74">
        <f>'Пр. 9'!J933</f>
        <v>0</v>
      </c>
      <c r="J362" s="101">
        <f t="shared" si="20"/>
        <v>0</v>
      </c>
      <c r="K362" s="74">
        <f>'Пр. 9'!L933</f>
        <v>0</v>
      </c>
      <c r="L362" s="74">
        <f>'Пр. 9'!M933</f>
        <v>0</v>
      </c>
    </row>
    <row r="363" spans="1:12" ht="30">
      <c r="A363" s="109" t="s">
        <v>1031</v>
      </c>
      <c r="B363" s="100" t="s">
        <v>223</v>
      </c>
      <c r="C363" s="100" t="s">
        <v>132</v>
      </c>
      <c r="D363" s="100" t="s">
        <v>174</v>
      </c>
      <c r="E363" s="100" t="s">
        <v>1030</v>
      </c>
      <c r="F363" s="99"/>
      <c r="G363" s="100"/>
      <c r="H363" s="74">
        <f aca="true" t="shared" si="21" ref="H363:L364">H364</f>
        <v>7736.799999999999</v>
      </c>
      <c r="I363" s="74">
        <f t="shared" si="21"/>
        <v>7736.799999999999</v>
      </c>
      <c r="J363" s="101">
        <f t="shared" si="20"/>
        <v>0</v>
      </c>
      <c r="K363" s="74">
        <f t="shared" si="21"/>
        <v>0</v>
      </c>
      <c r="L363" s="74">
        <f t="shared" si="21"/>
        <v>0</v>
      </c>
    </row>
    <row r="364" spans="1:12" ht="30">
      <c r="A364" s="115" t="s">
        <v>688</v>
      </c>
      <c r="B364" s="100" t="s">
        <v>223</v>
      </c>
      <c r="C364" s="100" t="s">
        <v>132</v>
      </c>
      <c r="D364" s="100" t="s">
        <v>174</v>
      </c>
      <c r="E364" s="100" t="s">
        <v>1030</v>
      </c>
      <c r="F364" s="99" t="s">
        <v>689</v>
      </c>
      <c r="G364" s="100"/>
      <c r="H364" s="74">
        <f t="shared" si="21"/>
        <v>7736.799999999999</v>
      </c>
      <c r="I364" s="74">
        <f t="shared" si="21"/>
        <v>7736.799999999999</v>
      </c>
      <c r="J364" s="101">
        <f t="shared" si="20"/>
        <v>0</v>
      </c>
      <c r="K364" s="74">
        <f t="shared" si="21"/>
        <v>0</v>
      </c>
      <c r="L364" s="74">
        <f t="shared" si="21"/>
        <v>0</v>
      </c>
    </row>
    <row r="365" spans="1:12" ht="15">
      <c r="A365" s="102" t="s">
        <v>87</v>
      </c>
      <c r="B365" s="100" t="s">
        <v>223</v>
      </c>
      <c r="C365" s="100" t="s">
        <v>132</v>
      </c>
      <c r="D365" s="100" t="s">
        <v>174</v>
      </c>
      <c r="E365" s="100" t="s">
        <v>1030</v>
      </c>
      <c r="F365" s="99" t="s">
        <v>689</v>
      </c>
      <c r="G365" s="100" t="s">
        <v>88</v>
      </c>
      <c r="H365" s="74">
        <f>'Пр. 9'!I935</f>
        <v>7736.799999999999</v>
      </c>
      <c r="I365" s="74">
        <f>'Пр. 9'!J935</f>
        <v>7736.799999999999</v>
      </c>
      <c r="J365" s="101">
        <f t="shared" si="20"/>
        <v>0</v>
      </c>
      <c r="K365" s="74">
        <f>'Пр. 9'!L935</f>
        <v>0</v>
      </c>
      <c r="L365" s="74">
        <f>'Пр. 9'!M935</f>
        <v>0</v>
      </c>
    </row>
    <row r="366" spans="1:12" ht="30">
      <c r="A366" s="115" t="s">
        <v>1075</v>
      </c>
      <c r="B366" s="100" t="s">
        <v>223</v>
      </c>
      <c r="C366" s="100" t="s">
        <v>132</v>
      </c>
      <c r="D366" s="100" t="s">
        <v>174</v>
      </c>
      <c r="E366" s="100" t="s">
        <v>1076</v>
      </c>
      <c r="F366" s="99"/>
      <c r="G366" s="100"/>
      <c r="H366" s="74">
        <f>H367</f>
        <v>24444.4</v>
      </c>
      <c r="I366" s="74">
        <f>I367</f>
        <v>24444.4</v>
      </c>
      <c r="J366" s="101">
        <f t="shared" si="20"/>
        <v>0</v>
      </c>
      <c r="K366" s="74">
        <f>K367</f>
        <v>24444.5</v>
      </c>
      <c r="L366" s="74">
        <f>L367</f>
        <v>24444.5</v>
      </c>
    </row>
    <row r="367" spans="1:12" ht="30">
      <c r="A367" s="115" t="s">
        <v>688</v>
      </c>
      <c r="B367" s="100" t="s">
        <v>223</v>
      </c>
      <c r="C367" s="100" t="s">
        <v>132</v>
      </c>
      <c r="D367" s="100" t="s">
        <v>174</v>
      </c>
      <c r="E367" s="100" t="s">
        <v>1076</v>
      </c>
      <c r="F367" s="99" t="s">
        <v>689</v>
      </c>
      <c r="G367" s="100"/>
      <c r="H367" s="74">
        <f>H368</f>
        <v>24444.4</v>
      </c>
      <c r="I367" s="74">
        <f>I368</f>
        <v>24444.4</v>
      </c>
      <c r="J367" s="101">
        <f t="shared" si="20"/>
        <v>0</v>
      </c>
      <c r="K367" s="74">
        <f>K368</f>
        <v>24444.5</v>
      </c>
      <c r="L367" s="74">
        <f>L368</f>
        <v>24444.5</v>
      </c>
    </row>
    <row r="368" spans="1:12" ht="15">
      <c r="A368" s="102" t="s">
        <v>87</v>
      </c>
      <c r="B368" s="100" t="s">
        <v>223</v>
      </c>
      <c r="C368" s="100" t="s">
        <v>132</v>
      </c>
      <c r="D368" s="100" t="s">
        <v>174</v>
      </c>
      <c r="E368" s="100" t="s">
        <v>1076</v>
      </c>
      <c r="F368" s="99" t="s">
        <v>689</v>
      </c>
      <c r="G368" s="100" t="s">
        <v>88</v>
      </c>
      <c r="H368" s="74">
        <f>'Пр. 9'!I937</f>
        <v>24444.4</v>
      </c>
      <c r="I368" s="74">
        <f>'Пр. 9'!J937</f>
        <v>24444.4</v>
      </c>
      <c r="J368" s="101">
        <f t="shared" si="20"/>
        <v>0</v>
      </c>
      <c r="K368" s="74">
        <f>'Пр. 9'!L937</f>
        <v>24444.5</v>
      </c>
      <c r="L368" s="74">
        <f>'Пр. 9'!M937</f>
        <v>24444.5</v>
      </c>
    </row>
    <row r="369" spans="1:12" ht="30">
      <c r="A369" s="115" t="s">
        <v>729</v>
      </c>
      <c r="B369" s="100" t="s">
        <v>223</v>
      </c>
      <c r="C369" s="100" t="s">
        <v>132</v>
      </c>
      <c r="D369" s="100" t="s">
        <v>174</v>
      </c>
      <c r="E369" s="100" t="s">
        <v>730</v>
      </c>
      <c r="F369" s="99"/>
      <c r="G369" s="100"/>
      <c r="H369" s="74">
        <f>H370</f>
        <v>130</v>
      </c>
      <c r="I369" s="74">
        <f>I370</f>
        <v>130</v>
      </c>
      <c r="J369" s="101">
        <f t="shared" si="20"/>
        <v>0</v>
      </c>
      <c r="K369" s="74">
        <f>K370</f>
        <v>0</v>
      </c>
      <c r="L369" s="74">
        <f>L370</f>
        <v>0</v>
      </c>
    </row>
    <row r="370" spans="1:12" ht="36.75" customHeight="1">
      <c r="A370" s="115" t="s">
        <v>688</v>
      </c>
      <c r="B370" s="100" t="s">
        <v>223</v>
      </c>
      <c r="C370" s="100" t="s">
        <v>132</v>
      </c>
      <c r="D370" s="100" t="s">
        <v>174</v>
      </c>
      <c r="E370" s="100" t="s">
        <v>730</v>
      </c>
      <c r="F370" s="99" t="s">
        <v>689</v>
      </c>
      <c r="G370" s="100"/>
      <c r="H370" s="74">
        <f>H371</f>
        <v>130</v>
      </c>
      <c r="I370" s="74">
        <f>I371</f>
        <v>130</v>
      </c>
      <c r="J370" s="101">
        <f t="shared" si="20"/>
        <v>0</v>
      </c>
      <c r="K370" s="74">
        <f>K371</f>
        <v>0</v>
      </c>
      <c r="L370" s="74"/>
    </row>
    <row r="371" spans="1:12" ht="20.25" customHeight="1">
      <c r="A371" s="102" t="s">
        <v>87</v>
      </c>
      <c r="B371" s="100" t="s">
        <v>223</v>
      </c>
      <c r="C371" s="100" t="s">
        <v>132</v>
      </c>
      <c r="D371" s="100" t="s">
        <v>174</v>
      </c>
      <c r="E371" s="100" t="s">
        <v>730</v>
      </c>
      <c r="F371" s="99" t="s">
        <v>689</v>
      </c>
      <c r="G371" s="100"/>
      <c r="H371" s="74">
        <f>'Пр. 9'!I939</f>
        <v>130</v>
      </c>
      <c r="I371" s="74">
        <f>'Пр. 9'!J939</f>
        <v>130</v>
      </c>
      <c r="J371" s="101">
        <f t="shared" si="20"/>
        <v>0</v>
      </c>
      <c r="K371" s="74">
        <f>'Пр. 9'!L939</f>
        <v>0</v>
      </c>
      <c r="L371" s="74">
        <f>'Пр. 9'!M939</f>
        <v>0</v>
      </c>
    </row>
    <row r="372" spans="1:12" ht="20.25" customHeight="1">
      <c r="A372" s="115" t="s">
        <v>1131</v>
      </c>
      <c r="B372" s="100" t="s">
        <v>223</v>
      </c>
      <c r="C372" s="100" t="s">
        <v>132</v>
      </c>
      <c r="D372" s="100" t="s">
        <v>174</v>
      </c>
      <c r="E372" s="100" t="s">
        <v>1132</v>
      </c>
      <c r="F372" s="99"/>
      <c r="G372" s="100"/>
      <c r="H372" s="74">
        <f>H373</f>
        <v>0</v>
      </c>
      <c r="I372" s="74">
        <f>I373</f>
        <v>10041</v>
      </c>
      <c r="J372" s="101">
        <f t="shared" si="20"/>
        <v>10041</v>
      </c>
      <c r="K372" s="74">
        <f>K373</f>
        <v>0</v>
      </c>
      <c r="L372" s="74">
        <f>L373</f>
        <v>0</v>
      </c>
    </row>
    <row r="373" spans="1:12" ht="20.25" customHeight="1">
      <c r="A373" s="115" t="s">
        <v>688</v>
      </c>
      <c r="B373" s="100" t="s">
        <v>223</v>
      </c>
      <c r="C373" s="100" t="s">
        <v>132</v>
      </c>
      <c r="D373" s="100" t="s">
        <v>174</v>
      </c>
      <c r="E373" s="100" t="s">
        <v>1132</v>
      </c>
      <c r="F373" s="99" t="s">
        <v>689</v>
      </c>
      <c r="G373" s="100"/>
      <c r="H373" s="74">
        <f>H374</f>
        <v>0</v>
      </c>
      <c r="I373" s="74">
        <f>I374</f>
        <v>10041</v>
      </c>
      <c r="J373" s="101">
        <f t="shared" si="20"/>
        <v>10041</v>
      </c>
      <c r="K373" s="74">
        <f>K374</f>
        <v>0</v>
      </c>
      <c r="L373" s="74">
        <f>L374</f>
        <v>0</v>
      </c>
    </row>
    <row r="374" spans="1:12" ht="20.25" customHeight="1">
      <c r="A374" s="102" t="s">
        <v>87</v>
      </c>
      <c r="B374" s="100" t="s">
        <v>223</v>
      </c>
      <c r="C374" s="100" t="s">
        <v>132</v>
      </c>
      <c r="D374" s="100" t="s">
        <v>174</v>
      </c>
      <c r="E374" s="100" t="s">
        <v>1132</v>
      </c>
      <c r="F374" s="99" t="s">
        <v>689</v>
      </c>
      <c r="G374" s="100" t="s">
        <v>88</v>
      </c>
      <c r="H374" s="74">
        <f>'Пр. 9'!I941</f>
        <v>0</v>
      </c>
      <c r="I374" s="74">
        <f>'Пр. 9'!J941</f>
        <v>10041</v>
      </c>
      <c r="J374" s="101">
        <f t="shared" si="20"/>
        <v>10041</v>
      </c>
      <c r="K374" s="74">
        <f>'Пр. 9'!L941</f>
        <v>0</v>
      </c>
      <c r="L374" s="74">
        <f>'Пр. 9'!M941</f>
        <v>0</v>
      </c>
    </row>
    <row r="375" spans="1:12" ht="18.75" customHeight="1">
      <c r="A375" s="292" t="s">
        <v>970</v>
      </c>
      <c r="B375" s="293" t="s">
        <v>223</v>
      </c>
      <c r="C375" s="293" t="s">
        <v>132</v>
      </c>
      <c r="D375" s="293" t="s">
        <v>971</v>
      </c>
      <c r="E375" s="293" t="s">
        <v>150</v>
      </c>
      <c r="F375" s="294"/>
      <c r="G375" s="100"/>
      <c r="H375" s="36">
        <f aca="true" t="shared" si="22" ref="H375:I377">H376</f>
        <v>1255.8</v>
      </c>
      <c r="I375" s="36">
        <f t="shared" si="22"/>
        <v>1255.8</v>
      </c>
      <c r="J375" s="96">
        <f t="shared" si="20"/>
        <v>0</v>
      </c>
      <c r="K375" s="36">
        <f aca="true" t="shared" si="23" ref="K375:L377">K376</f>
        <v>0</v>
      </c>
      <c r="L375" s="36">
        <f t="shared" si="23"/>
        <v>126.2</v>
      </c>
    </row>
    <row r="376" spans="1:12" ht="47.25">
      <c r="A376" s="291" t="s">
        <v>973</v>
      </c>
      <c r="B376" s="100" t="s">
        <v>223</v>
      </c>
      <c r="C376" s="100" t="s">
        <v>132</v>
      </c>
      <c r="D376" s="100" t="s">
        <v>971</v>
      </c>
      <c r="E376" s="100" t="s">
        <v>972</v>
      </c>
      <c r="F376" s="99"/>
      <c r="G376" s="100"/>
      <c r="H376" s="74">
        <f t="shared" si="22"/>
        <v>1255.8</v>
      </c>
      <c r="I376" s="74">
        <f t="shared" si="22"/>
        <v>1255.8</v>
      </c>
      <c r="J376" s="101">
        <f t="shared" si="20"/>
        <v>0</v>
      </c>
      <c r="K376" s="74">
        <f t="shared" si="23"/>
        <v>0</v>
      </c>
      <c r="L376" s="74">
        <f t="shared" si="23"/>
        <v>126.2</v>
      </c>
    </row>
    <row r="377" spans="1:12" ht="31.5">
      <c r="A377" s="291" t="s">
        <v>688</v>
      </c>
      <c r="B377" s="100" t="s">
        <v>223</v>
      </c>
      <c r="C377" s="100" t="s">
        <v>132</v>
      </c>
      <c r="D377" s="100" t="s">
        <v>971</v>
      </c>
      <c r="E377" s="100" t="s">
        <v>972</v>
      </c>
      <c r="F377" s="99" t="s">
        <v>689</v>
      </c>
      <c r="G377" s="100"/>
      <c r="H377" s="74">
        <f t="shared" si="22"/>
        <v>1255.8</v>
      </c>
      <c r="I377" s="74">
        <f t="shared" si="22"/>
        <v>1255.8</v>
      </c>
      <c r="J377" s="101">
        <f t="shared" si="20"/>
        <v>0</v>
      </c>
      <c r="K377" s="74">
        <f t="shared" si="23"/>
        <v>0</v>
      </c>
      <c r="L377" s="74">
        <f t="shared" si="23"/>
        <v>126.2</v>
      </c>
    </row>
    <row r="378" spans="1:12" ht="15">
      <c r="A378" s="102" t="s">
        <v>87</v>
      </c>
      <c r="B378" s="100" t="s">
        <v>223</v>
      </c>
      <c r="C378" s="100" t="s">
        <v>132</v>
      </c>
      <c r="D378" s="100" t="s">
        <v>971</v>
      </c>
      <c r="E378" s="100" t="s">
        <v>972</v>
      </c>
      <c r="F378" s="99" t="s">
        <v>689</v>
      </c>
      <c r="G378" s="100" t="s">
        <v>88</v>
      </c>
      <c r="H378" s="74">
        <f>'Пр. 9'!I944</f>
        <v>1255.8</v>
      </c>
      <c r="I378" s="74">
        <f>'Пр. 9'!J944</f>
        <v>1255.8</v>
      </c>
      <c r="J378" s="101">
        <f t="shared" si="20"/>
        <v>0</v>
      </c>
      <c r="K378" s="74">
        <f>'Пр. 9'!L944</f>
        <v>0</v>
      </c>
      <c r="L378" s="74">
        <f>'Пр. 9'!M944</f>
        <v>126.2</v>
      </c>
    </row>
    <row r="379" spans="1:12" ht="18" customHeight="1" hidden="1">
      <c r="A379" s="127" t="s">
        <v>963</v>
      </c>
      <c r="B379" s="95" t="s">
        <v>223</v>
      </c>
      <c r="C379" s="95" t="s">
        <v>132</v>
      </c>
      <c r="D379" s="95" t="s">
        <v>964</v>
      </c>
      <c r="E379" s="95" t="s">
        <v>150</v>
      </c>
      <c r="F379" s="67"/>
      <c r="G379" s="95"/>
      <c r="H379" s="36">
        <f aca="true" t="shared" si="24" ref="H379:I381">H380</f>
        <v>0</v>
      </c>
      <c r="I379" s="36">
        <f t="shared" si="24"/>
        <v>0</v>
      </c>
      <c r="J379" s="96">
        <f t="shared" si="20"/>
        <v>0</v>
      </c>
      <c r="K379" s="36">
        <f aca="true" t="shared" si="25" ref="K379:L381">K380</f>
        <v>0</v>
      </c>
      <c r="L379" s="36">
        <f t="shared" si="25"/>
        <v>0</v>
      </c>
    </row>
    <row r="380" spans="1:12" ht="45" hidden="1">
      <c r="A380" s="109" t="s">
        <v>965</v>
      </c>
      <c r="B380" s="100" t="s">
        <v>223</v>
      </c>
      <c r="C380" s="100" t="s">
        <v>132</v>
      </c>
      <c r="D380" s="100" t="s">
        <v>964</v>
      </c>
      <c r="E380" s="100" t="s">
        <v>966</v>
      </c>
      <c r="F380" s="99"/>
      <c r="G380" s="100"/>
      <c r="H380" s="74">
        <f t="shared" si="24"/>
        <v>0</v>
      </c>
      <c r="I380" s="74">
        <f t="shared" si="24"/>
        <v>0</v>
      </c>
      <c r="J380" s="101">
        <f t="shared" si="20"/>
        <v>0</v>
      </c>
      <c r="K380" s="74">
        <f t="shared" si="25"/>
        <v>0</v>
      </c>
      <c r="L380" s="74">
        <f t="shared" si="25"/>
        <v>0</v>
      </c>
    </row>
    <row r="381" spans="1:12" ht="30" hidden="1">
      <c r="A381" s="109" t="s">
        <v>688</v>
      </c>
      <c r="B381" s="100" t="s">
        <v>223</v>
      </c>
      <c r="C381" s="100" t="s">
        <v>132</v>
      </c>
      <c r="D381" s="100" t="s">
        <v>964</v>
      </c>
      <c r="E381" s="100" t="s">
        <v>966</v>
      </c>
      <c r="F381" s="99" t="s">
        <v>689</v>
      </c>
      <c r="G381" s="100"/>
      <c r="H381" s="74">
        <f t="shared" si="24"/>
        <v>0</v>
      </c>
      <c r="I381" s="74">
        <f t="shared" si="24"/>
        <v>0</v>
      </c>
      <c r="J381" s="101">
        <f t="shared" si="20"/>
        <v>0</v>
      </c>
      <c r="K381" s="74">
        <f t="shared" si="25"/>
        <v>0</v>
      </c>
      <c r="L381" s="74">
        <f t="shared" si="25"/>
        <v>0</v>
      </c>
    </row>
    <row r="382" spans="1:12" ht="15" hidden="1">
      <c r="A382" s="102" t="s">
        <v>87</v>
      </c>
      <c r="B382" s="100" t="s">
        <v>223</v>
      </c>
      <c r="C382" s="100" t="s">
        <v>132</v>
      </c>
      <c r="D382" s="100" t="s">
        <v>964</v>
      </c>
      <c r="E382" s="100" t="s">
        <v>966</v>
      </c>
      <c r="F382" s="99" t="s">
        <v>689</v>
      </c>
      <c r="G382" s="100" t="s">
        <v>88</v>
      </c>
      <c r="H382" s="74">
        <f>'Пр. 9'!I947</f>
        <v>0</v>
      </c>
      <c r="I382" s="74">
        <f>'Пр. 9'!J947</f>
        <v>0</v>
      </c>
      <c r="J382" s="101">
        <f t="shared" si="20"/>
        <v>0</v>
      </c>
      <c r="K382" s="74">
        <f>'Пр. 9'!L947</f>
        <v>0</v>
      </c>
      <c r="L382" s="74">
        <f>'Пр. 9'!M947</f>
        <v>0</v>
      </c>
    </row>
    <row r="383" spans="1:12" ht="18" customHeight="1">
      <c r="A383" s="127" t="s">
        <v>1064</v>
      </c>
      <c r="B383" s="95" t="s">
        <v>223</v>
      </c>
      <c r="C383" s="95" t="s">
        <v>132</v>
      </c>
      <c r="D383" s="95" t="s">
        <v>1066</v>
      </c>
      <c r="E383" s="95" t="s">
        <v>150</v>
      </c>
      <c r="F383" s="67"/>
      <c r="G383" s="100"/>
      <c r="H383" s="36">
        <f aca="true" t="shared" si="26" ref="H383:L385">H384</f>
        <v>10155.6</v>
      </c>
      <c r="I383" s="36">
        <f t="shared" si="26"/>
        <v>9896.6</v>
      </c>
      <c r="J383" s="96">
        <f t="shared" si="20"/>
        <v>-259</v>
      </c>
      <c r="K383" s="36">
        <f t="shared" si="26"/>
        <v>0</v>
      </c>
      <c r="L383" s="36">
        <f t="shared" si="26"/>
        <v>1000.2</v>
      </c>
    </row>
    <row r="384" spans="1:12" ht="45">
      <c r="A384" s="109" t="s">
        <v>1065</v>
      </c>
      <c r="B384" s="100" t="s">
        <v>223</v>
      </c>
      <c r="C384" s="100" t="s">
        <v>132</v>
      </c>
      <c r="D384" s="100" t="s">
        <v>1066</v>
      </c>
      <c r="E384" s="100" t="s">
        <v>1067</v>
      </c>
      <c r="F384" s="99"/>
      <c r="G384" s="100"/>
      <c r="H384" s="74">
        <f t="shared" si="26"/>
        <v>10155.6</v>
      </c>
      <c r="I384" s="74">
        <f t="shared" si="26"/>
        <v>9896.6</v>
      </c>
      <c r="J384" s="101">
        <f t="shared" si="20"/>
        <v>-259</v>
      </c>
      <c r="K384" s="74">
        <f t="shared" si="26"/>
        <v>0</v>
      </c>
      <c r="L384" s="74">
        <f t="shared" si="26"/>
        <v>1000.2</v>
      </c>
    </row>
    <row r="385" spans="1:12" ht="30">
      <c r="A385" s="109" t="s">
        <v>688</v>
      </c>
      <c r="B385" s="100" t="s">
        <v>223</v>
      </c>
      <c r="C385" s="100" t="s">
        <v>132</v>
      </c>
      <c r="D385" s="100" t="s">
        <v>1066</v>
      </c>
      <c r="E385" s="100" t="s">
        <v>1067</v>
      </c>
      <c r="F385" s="99" t="s">
        <v>689</v>
      </c>
      <c r="G385" s="100"/>
      <c r="H385" s="74">
        <f t="shared" si="26"/>
        <v>10155.6</v>
      </c>
      <c r="I385" s="74">
        <f t="shared" si="26"/>
        <v>9896.6</v>
      </c>
      <c r="J385" s="101">
        <f t="shared" si="20"/>
        <v>-259</v>
      </c>
      <c r="K385" s="74">
        <f t="shared" si="26"/>
        <v>0</v>
      </c>
      <c r="L385" s="74">
        <f t="shared" si="26"/>
        <v>1000.2</v>
      </c>
    </row>
    <row r="386" spans="1:12" ht="15">
      <c r="A386" s="102" t="s">
        <v>87</v>
      </c>
      <c r="B386" s="100" t="s">
        <v>223</v>
      </c>
      <c r="C386" s="100" t="s">
        <v>132</v>
      </c>
      <c r="D386" s="100" t="s">
        <v>1066</v>
      </c>
      <c r="E386" s="100" t="s">
        <v>1067</v>
      </c>
      <c r="F386" s="99" t="s">
        <v>689</v>
      </c>
      <c r="G386" s="100" t="s">
        <v>88</v>
      </c>
      <c r="H386" s="74">
        <f>'Пр. 9'!I950</f>
        <v>10155.6</v>
      </c>
      <c r="I386" s="74">
        <f>'Пр. 9'!J950</f>
        <v>9896.6</v>
      </c>
      <c r="J386" s="101">
        <f t="shared" si="20"/>
        <v>-259</v>
      </c>
      <c r="K386" s="74">
        <f>'Пр. 9'!L950</f>
        <v>0</v>
      </c>
      <c r="L386" s="74">
        <f>'Пр. 9'!M950</f>
        <v>1000.2</v>
      </c>
    </row>
    <row r="387" spans="1:12" s="9" customFormat="1" ht="28.5">
      <c r="A387" s="97" t="s">
        <v>139</v>
      </c>
      <c r="B387" s="67" t="s">
        <v>223</v>
      </c>
      <c r="C387" s="67" t="s">
        <v>134</v>
      </c>
      <c r="D387" s="67" t="s">
        <v>149</v>
      </c>
      <c r="E387" s="67" t="s">
        <v>150</v>
      </c>
      <c r="F387" s="67"/>
      <c r="G387" s="95"/>
      <c r="H387" s="36">
        <f>H388+H401</f>
        <v>174548.8</v>
      </c>
      <c r="I387" s="36">
        <f>I388+I401</f>
        <v>175252.49999999997</v>
      </c>
      <c r="J387" s="96">
        <f t="shared" si="20"/>
        <v>703.6999999999825</v>
      </c>
      <c r="K387" s="36">
        <f>K388+K401</f>
        <v>174981.69999999998</v>
      </c>
      <c r="L387" s="36">
        <f>L388+L401</f>
        <v>180154.3</v>
      </c>
    </row>
    <row r="388" spans="1:12" s="9" customFormat="1" ht="28.5">
      <c r="A388" s="116" t="s">
        <v>259</v>
      </c>
      <c r="B388" s="95" t="s">
        <v>223</v>
      </c>
      <c r="C388" s="94">
        <v>3</v>
      </c>
      <c r="D388" s="95" t="s">
        <v>147</v>
      </c>
      <c r="E388" s="95" t="s">
        <v>150</v>
      </c>
      <c r="F388" s="67"/>
      <c r="G388" s="95"/>
      <c r="H388" s="36">
        <f>H389+H392+H395+H398</f>
        <v>169856.69999999998</v>
      </c>
      <c r="I388" s="36">
        <f>I389+I392+I395+I398</f>
        <v>169856.69999999998</v>
      </c>
      <c r="J388" s="96">
        <f t="shared" si="20"/>
        <v>0</v>
      </c>
      <c r="K388" s="36">
        <f>K389+K392+K395+K398</f>
        <v>168728.9</v>
      </c>
      <c r="L388" s="36">
        <f>L389+L392+L395+L398</f>
        <v>174312</v>
      </c>
    </row>
    <row r="389" spans="1:12" ht="30">
      <c r="A389" s="102" t="s">
        <v>193</v>
      </c>
      <c r="B389" s="100" t="s">
        <v>223</v>
      </c>
      <c r="C389" s="117">
        <v>3</v>
      </c>
      <c r="D389" s="100" t="s">
        <v>147</v>
      </c>
      <c r="E389" s="100" t="s">
        <v>194</v>
      </c>
      <c r="F389" s="99"/>
      <c r="G389" s="100"/>
      <c r="H389" s="74">
        <f aca="true" t="shared" si="27" ref="H389:L390">H390</f>
        <v>96668.79999999999</v>
      </c>
      <c r="I389" s="74">
        <f t="shared" si="27"/>
        <v>107287.49999999999</v>
      </c>
      <c r="J389" s="101">
        <f t="shared" si="20"/>
        <v>10618.699999999997</v>
      </c>
      <c r="K389" s="74">
        <f t="shared" si="27"/>
        <v>48904</v>
      </c>
      <c r="L389" s="74">
        <f t="shared" si="27"/>
        <v>0</v>
      </c>
    </row>
    <row r="390" spans="1:12" ht="30">
      <c r="A390" s="102" t="s">
        <v>688</v>
      </c>
      <c r="B390" s="100" t="s">
        <v>223</v>
      </c>
      <c r="C390" s="117">
        <v>3</v>
      </c>
      <c r="D390" s="100" t="s">
        <v>147</v>
      </c>
      <c r="E390" s="100" t="s">
        <v>194</v>
      </c>
      <c r="F390" s="99" t="s">
        <v>689</v>
      </c>
      <c r="G390" s="100"/>
      <c r="H390" s="74">
        <f t="shared" si="27"/>
        <v>96668.79999999999</v>
      </c>
      <c r="I390" s="74">
        <f t="shared" si="27"/>
        <v>107287.49999999999</v>
      </c>
      <c r="J390" s="101">
        <f t="shared" si="20"/>
        <v>10618.699999999997</v>
      </c>
      <c r="K390" s="74">
        <f t="shared" si="27"/>
        <v>48904</v>
      </c>
      <c r="L390" s="74">
        <f t="shared" si="27"/>
        <v>0</v>
      </c>
    </row>
    <row r="391" spans="1:12" ht="15">
      <c r="A391" s="22" t="s">
        <v>89</v>
      </c>
      <c r="B391" s="100" t="s">
        <v>223</v>
      </c>
      <c r="C391" s="117">
        <v>3</v>
      </c>
      <c r="D391" s="100" t="s">
        <v>147</v>
      </c>
      <c r="E391" s="100" t="s">
        <v>194</v>
      </c>
      <c r="F391" s="99" t="s">
        <v>689</v>
      </c>
      <c r="G391" s="100" t="s">
        <v>90</v>
      </c>
      <c r="H391" s="74">
        <f>'Пр. 9'!I967</f>
        <v>96668.79999999999</v>
      </c>
      <c r="I391" s="74">
        <f>'Пр. 9'!J967</f>
        <v>107287.49999999999</v>
      </c>
      <c r="J391" s="101">
        <f t="shared" si="20"/>
        <v>10618.699999999997</v>
      </c>
      <c r="K391" s="74">
        <f>'Пр. 9'!L967</f>
        <v>48904</v>
      </c>
      <c r="L391" s="74">
        <f>'Пр. 9'!M967</f>
        <v>0</v>
      </c>
    </row>
    <row r="392" spans="1:12" ht="24" customHeight="1">
      <c r="A392" s="122" t="s">
        <v>246</v>
      </c>
      <c r="B392" s="100" t="s">
        <v>223</v>
      </c>
      <c r="C392" s="117">
        <v>3</v>
      </c>
      <c r="D392" s="100" t="s">
        <v>147</v>
      </c>
      <c r="E392" s="100" t="s">
        <v>247</v>
      </c>
      <c r="F392" s="99"/>
      <c r="G392" s="100"/>
      <c r="H392" s="74">
        <f>H393</f>
        <v>240</v>
      </c>
      <c r="I392" s="74">
        <f>I393</f>
        <v>240</v>
      </c>
      <c r="J392" s="101">
        <f t="shared" si="20"/>
        <v>0</v>
      </c>
      <c r="K392" s="74">
        <f>K393</f>
        <v>250</v>
      </c>
      <c r="L392" s="74">
        <f>L393</f>
        <v>260</v>
      </c>
    </row>
    <row r="393" spans="1:12" ht="30">
      <c r="A393" s="22" t="s">
        <v>688</v>
      </c>
      <c r="B393" s="100" t="s">
        <v>223</v>
      </c>
      <c r="C393" s="117">
        <v>3</v>
      </c>
      <c r="D393" s="100" t="s">
        <v>147</v>
      </c>
      <c r="E393" s="100" t="s">
        <v>247</v>
      </c>
      <c r="F393" s="99" t="s">
        <v>689</v>
      </c>
      <c r="G393" s="100"/>
      <c r="H393" s="74">
        <f>H394</f>
        <v>240</v>
      </c>
      <c r="I393" s="74">
        <f>I394</f>
        <v>240</v>
      </c>
      <c r="J393" s="101">
        <f t="shared" si="20"/>
        <v>0</v>
      </c>
      <c r="K393" s="74">
        <f>K394</f>
        <v>250</v>
      </c>
      <c r="L393" s="74">
        <f>L394</f>
        <v>260</v>
      </c>
    </row>
    <row r="394" spans="1:12" ht="15">
      <c r="A394" s="22" t="s">
        <v>89</v>
      </c>
      <c r="B394" s="100" t="s">
        <v>223</v>
      </c>
      <c r="C394" s="117">
        <v>3</v>
      </c>
      <c r="D394" s="100" t="s">
        <v>147</v>
      </c>
      <c r="E394" s="100" t="s">
        <v>247</v>
      </c>
      <c r="F394" s="99" t="s">
        <v>689</v>
      </c>
      <c r="G394" s="100" t="s">
        <v>90</v>
      </c>
      <c r="H394" s="74">
        <f>'Пр. 9'!I969</f>
        <v>240</v>
      </c>
      <c r="I394" s="74">
        <f>'Пр. 9'!J969</f>
        <v>240</v>
      </c>
      <c r="J394" s="101">
        <f t="shared" si="20"/>
        <v>0</v>
      </c>
      <c r="K394" s="74">
        <f>'Пр. 9'!L969</f>
        <v>250</v>
      </c>
      <c r="L394" s="74">
        <f>'Пр. 9'!M969</f>
        <v>260</v>
      </c>
    </row>
    <row r="395" spans="1:12" ht="15">
      <c r="A395" s="102" t="s">
        <v>260</v>
      </c>
      <c r="B395" s="100" t="s">
        <v>223</v>
      </c>
      <c r="C395" s="117">
        <v>3</v>
      </c>
      <c r="D395" s="100" t="s">
        <v>147</v>
      </c>
      <c r="E395" s="100" t="s">
        <v>261</v>
      </c>
      <c r="F395" s="99"/>
      <c r="G395" s="100"/>
      <c r="H395" s="74">
        <f>H396</f>
        <v>150</v>
      </c>
      <c r="I395" s="74">
        <f>I396</f>
        <v>150</v>
      </c>
      <c r="J395" s="101">
        <f t="shared" si="20"/>
        <v>0</v>
      </c>
      <c r="K395" s="74">
        <f>K396</f>
        <v>560</v>
      </c>
      <c r="L395" s="74">
        <f>L396</f>
        <v>165</v>
      </c>
    </row>
    <row r="396" spans="1:12" ht="30">
      <c r="A396" s="22" t="s">
        <v>688</v>
      </c>
      <c r="B396" s="100" t="s">
        <v>223</v>
      </c>
      <c r="C396" s="117">
        <v>3</v>
      </c>
      <c r="D396" s="100" t="s">
        <v>147</v>
      </c>
      <c r="E396" s="100" t="s">
        <v>261</v>
      </c>
      <c r="F396" s="99" t="s">
        <v>689</v>
      </c>
      <c r="G396" s="100"/>
      <c r="H396" s="74">
        <f>H397</f>
        <v>150</v>
      </c>
      <c r="I396" s="74">
        <f>I397</f>
        <v>150</v>
      </c>
      <c r="J396" s="101">
        <f t="shared" si="20"/>
        <v>0</v>
      </c>
      <c r="K396" s="74">
        <f>K397</f>
        <v>560</v>
      </c>
      <c r="L396" s="74">
        <f>L397</f>
        <v>165</v>
      </c>
    </row>
    <row r="397" spans="1:12" ht="15">
      <c r="A397" s="22" t="s">
        <v>89</v>
      </c>
      <c r="B397" s="100" t="s">
        <v>223</v>
      </c>
      <c r="C397" s="117">
        <v>3</v>
      </c>
      <c r="D397" s="100" t="s">
        <v>147</v>
      </c>
      <c r="E397" s="100" t="s">
        <v>261</v>
      </c>
      <c r="F397" s="99" t="s">
        <v>689</v>
      </c>
      <c r="G397" s="100" t="s">
        <v>90</v>
      </c>
      <c r="H397" s="74">
        <f>'Пр. 9'!I971</f>
        <v>150</v>
      </c>
      <c r="I397" s="74">
        <f>'Пр. 9'!J971</f>
        <v>150</v>
      </c>
      <c r="J397" s="101">
        <f t="shared" si="20"/>
        <v>0</v>
      </c>
      <c r="K397" s="74">
        <f>'Пр. 9'!L971</f>
        <v>560</v>
      </c>
      <c r="L397" s="74">
        <f>'Пр. 9'!M971</f>
        <v>165</v>
      </c>
    </row>
    <row r="398" spans="1:12" ht="30">
      <c r="A398" s="109" t="s">
        <v>1006</v>
      </c>
      <c r="B398" s="100" t="s">
        <v>223</v>
      </c>
      <c r="C398" s="100" t="s">
        <v>134</v>
      </c>
      <c r="D398" s="100" t="s">
        <v>147</v>
      </c>
      <c r="E398" s="100" t="s">
        <v>1004</v>
      </c>
      <c r="F398" s="99"/>
      <c r="G398" s="100"/>
      <c r="H398" s="74">
        <f>H399</f>
        <v>72797.9</v>
      </c>
      <c r="I398" s="74">
        <f>I399</f>
        <v>62179.200000000004</v>
      </c>
      <c r="J398" s="101">
        <f t="shared" si="20"/>
        <v>-10618.69999999999</v>
      </c>
      <c r="K398" s="74">
        <f>K399</f>
        <v>119014.9</v>
      </c>
      <c r="L398" s="74">
        <f>L399</f>
        <v>173887</v>
      </c>
    </row>
    <row r="399" spans="1:12" ht="30">
      <c r="A399" s="111" t="s">
        <v>688</v>
      </c>
      <c r="B399" s="100" t="s">
        <v>223</v>
      </c>
      <c r="C399" s="100" t="s">
        <v>134</v>
      </c>
      <c r="D399" s="100" t="s">
        <v>147</v>
      </c>
      <c r="E399" s="100" t="s">
        <v>1004</v>
      </c>
      <c r="F399" s="99" t="s">
        <v>689</v>
      </c>
      <c r="G399" s="100"/>
      <c r="H399" s="74">
        <f>H400</f>
        <v>72797.9</v>
      </c>
      <c r="I399" s="74">
        <f>I400</f>
        <v>62179.200000000004</v>
      </c>
      <c r="J399" s="101">
        <f t="shared" si="20"/>
        <v>-10618.69999999999</v>
      </c>
      <c r="K399" s="74">
        <f>K400</f>
        <v>119014.9</v>
      </c>
      <c r="L399" s="74">
        <f>L400</f>
        <v>173887</v>
      </c>
    </row>
    <row r="400" spans="1:12" ht="15">
      <c r="A400" s="22" t="s">
        <v>89</v>
      </c>
      <c r="B400" s="100" t="s">
        <v>223</v>
      </c>
      <c r="C400" s="100" t="s">
        <v>134</v>
      </c>
      <c r="D400" s="100" t="s">
        <v>147</v>
      </c>
      <c r="E400" s="100" t="s">
        <v>1004</v>
      </c>
      <c r="F400" s="99" t="s">
        <v>689</v>
      </c>
      <c r="G400" s="100" t="s">
        <v>90</v>
      </c>
      <c r="H400" s="74">
        <f>'Пр. 9'!I973+'Пр. 9'!I409</f>
        <v>72797.9</v>
      </c>
      <c r="I400" s="74">
        <f>'Пр. 9'!J973+'Пр. 9'!J409</f>
        <v>62179.200000000004</v>
      </c>
      <c r="J400" s="101">
        <f t="shared" si="20"/>
        <v>-10618.69999999999</v>
      </c>
      <c r="K400" s="74">
        <f>'Пр. 9'!L973+'Пр. 9'!L409</f>
        <v>119014.9</v>
      </c>
      <c r="L400" s="74">
        <f>'Пр. 9'!M973+'Пр. 9'!M409</f>
        <v>173887</v>
      </c>
    </row>
    <row r="401" spans="1:12" s="9" customFormat="1" ht="28.5">
      <c r="A401" s="110" t="s">
        <v>799</v>
      </c>
      <c r="B401" s="95" t="s">
        <v>223</v>
      </c>
      <c r="C401" s="94">
        <v>3</v>
      </c>
      <c r="D401" s="95" t="s">
        <v>160</v>
      </c>
      <c r="E401" s="95" t="s">
        <v>150</v>
      </c>
      <c r="F401" s="67"/>
      <c r="G401" s="95"/>
      <c r="H401" s="36">
        <f>H402+H406+H409+H412+H415+H418</f>
        <v>4692.1</v>
      </c>
      <c r="I401" s="36">
        <f>I402+I406+I409+I412+I415+I418</f>
        <v>5395.8</v>
      </c>
      <c r="J401" s="96">
        <f t="shared" si="20"/>
        <v>703.6999999999998</v>
      </c>
      <c r="K401" s="36">
        <f>K402+K406+K409+K412+K415+K418</f>
        <v>6252.8</v>
      </c>
      <c r="L401" s="36">
        <f>L402+L406+L409+L412+L415+L418</f>
        <v>5842.3</v>
      </c>
    </row>
    <row r="402" spans="1:12" ht="30">
      <c r="A402" s="102" t="s">
        <v>262</v>
      </c>
      <c r="B402" s="100" t="s">
        <v>223</v>
      </c>
      <c r="C402" s="117">
        <v>3</v>
      </c>
      <c r="D402" s="100" t="s">
        <v>160</v>
      </c>
      <c r="E402" s="99" t="s">
        <v>871</v>
      </c>
      <c r="F402" s="99"/>
      <c r="G402" s="100"/>
      <c r="H402" s="74">
        <f>H403</f>
        <v>2092</v>
      </c>
      <c r="I402" s="74">
        <f>I403</f>
        <v>2092</v>
      </c>
      <c r="J402" s="101">
        <f t="shared" si="20"/>
        <v>0</v>
      </c>
      <c r="K402" s="74">
        <f>K403</f>
        <v>2092</v>
      </c>
      <c r="L402" s="74">
        <f>L403</f>
        <v>2092</v>
      </c>
    </row>
    <row r="403" spans="1:12" ht="30">
      <c r="A403" s="102" t="s">
        <v>688</v>
      </c>
      <c r="B403" s="100" t="s">
        <v>223</v>
      </c>
      <c r="C403" s="117">
        <v>3</v>
      </c>
      <c r="D403" s="100" t="s">
        <v>160</v>
      </c>
      <c r="E403" s="99" t="s">
        <v>871</v>
      </c>
      <c r="F403" s="99" t="s">
        <v>689</v>
      </c>
      <c r="G403" s="100"/>
      <c r="H403" s="74">
        <f>H405+H404</f>
        <v>2092</v>
      </c>
      <c r="I403" s="74">
        <f>I405+I404</f>
        <v>2092</v>
      </c>
      <c r="J403" s="101">
        <f t="shared" si="20"/>
        <v>0</v>
      </c>
      <c r="K403" s="74">
        <f>K405+K404</f>
        <v>2092</v>
      </c>
      <c r="L403" s="74">
        <f>L405+L404</f>
        <v>2092</v>
      </c>
    </row>
    <row r="404" spans="1:12" ht="15">
      <c r="A404" s="22" t="s">
        <v>89</v>
      </c>
      <c r="B404" s="100" t="s">
        <v>223</v>
      </c>
      <c r="C404" s="117">
        <v>3</v>
      </c>
      <c r="D404" s="100" t="s">
        <v>160</v>
      </c>
      <c r="E404" s="99" t="s">
        <v>871</v>
      </c>
      <c r="F404" s="99" t="s">
        <v>689</v>
      </c>
      <c r="G404" s="100" t="s">
        <v>90</v>
      </c>
      <c r="H404" s="74">
        <f>'Пр. 9'!I976</f>
        <v>2092</v>
      </c>
      <c r="I404" s="74">
        <f>'Пр. 9'!J976</f>
        <v>2092</v>
      </c>
      <c r="J404" s="101">
        <f t="shared" si="20"/>
        <v>0</v>
      </c>
      <c r="K404" s="74">
        <f>'Пр. 9'!L976</f>
        <v>2092</v>
      </c>
      <c r="L404" s="74">
        <f>'Пр. 9'!M976</f>
        <v>2092</v>
      </c>
    </row>
    <row r="405" spans="1:12" ht="15" hidden="1">
      <c r="A405" s="102" t="s">
        <v>95</v>
      </c>
      <c r="B405" s="100" t="s">
        <v>223</v>
      </c>
      <c r="C405" s="117">
        <v>3</v>
      </c>
      <c r="D405" s="100" t="s">
        <v>160</v>
      </c>
      <c r="E405" s="99" t="s">
        <v>871</v>
      </c>
      <c r="F405" s="99" t="s">
        <v>689</v>
      </c>
      <c r="G405" s="100" t="s">
        <v>96</v>
      </c>
      <c r="H405" s="74">
        <f>'Пр. 9'!I1016</f>
        <v>0</v>
      </c>
      <c r="I405" s="74">
        <f>'Пр. 9'!J1016</f>
        <v>0</v>
      </c>
      <c r="J405" s="101">
        <f t="shared" si="20"/>
        <v>0</v>
      </c>
      <c r="K405" s="74">
        <f>'Пр. 9'!L1016</f>
        <v>0</v>
      </c>
      <c r="L405" s="74">
        <f>'Пр. 9'!M1016</f>
        <v>0</v>
      </c>
    </row>
    <row r="406" spans="1:12" ht="15">
      <c r="A406" s="122" t="s">
        <v>235</v>
      </c>
      <c r="B406" s="100" t="s">
        <v>223</v>
      </c>
      <c r="C406" s="117">
        <v>3</v>
      </c>
      <c r="D406" s="100" t="s">
        <v>160</v>
      </c>
      <c r="E406" s="100" t="s">
        <v>202</v>
      </c>
      <c r="F406" s="99"/>
      <c r="G406" s="100"/>
      <c r="H406" s="74">
        <f>H407</f>
        <v>549.8</v>
      </c>
      <c r="I406" s="74">
        <f>I407</f>
        <v>549.8</v>
      </c>
      <c r="J406" s="101">
        <f t="shared" si="20"/>
        <v>0</v>
      </c>
      <c r="K406" s="74">
        <f>K407</f>
        <v>2300</v>
      </c>
      <c r="L406" s="74">
        <f>L407</f>
        <v>2899.5</v>
      </c>
    </row>
    <row r="407" spans="1:12" ht="30">
      <c r="A407" s="22" t="s">
        <v>688</v>
      </c>
      <c r="B407" s="100" t="s">
        <v>223</v>
      </c>
      <c r="C407" s="117">
        <v>3</v>
      </c>
      <c r="D407" s="100" t="s">
        <v>160</v>
      </c>
      <c r="E407" s="100" t="s">
        <v>202</v>
      </c>
      <c r="F407" s="99" t="s">
        <v>689</v>
      </c>
      <c r="G407" s="100"/>
      <c r="H407" s="74">
        <f>H408</f>
        <v>549.8</v>
      </c>
      <c r="I407" s="74">
        <f>I408</f>
        <v>549.8</v>
      </c>
      <c r="J407" s="101">
        <f t="shared" si="20"/>
        <v>0</v>
      </c>
      <c r="K407" s="74">
        <f>K408</f>
        <v>2300</v>
      </c>
      <c r="L407" s="74">
        <f>L408</f>
        <v>2899.5</v>
      </c>
    </row>
    <row r="408" spans="1:12" s="5" customFormat="1" ht="15">
      <c r="A408" s="22" t="s">
        <v>89</v>
      </c>
      <c r="B408" s="100" t="s">
        <v>223</v>
      </c>
      <c r="C408" s="117">
        <v>3</v>
      </c>
      <c r="D408" s="100" t="s">
        <v>160</v>
      </c>
      <c r="E408" s="100" t="s">
        <v>202</v>
      </c>
      <c r="F408" s="99" t="s">
        <v>689</v>
      </c>
      <c r="G408" s="100" t="s">
        <v>90</v>
      </c>
      <c r="H408" s="74">
        <f>'Пр. 9'!I978</f>
        <v>549.8</v>
      </c>
      <c r="I408" s="74">
        <f>'Пр. 9'!J978</f>
        <v>549.8</v>
      </c>
      <c r="J408" s="101">
        <f t="shared" si="20"/>
        <v>0</v>
      </c>
      <c r="K408" s="74">
        <f>'Пр. 9'!L978</f>
        <v>2300</v>
      </c>
      <c r="L408" s="74">
        <f>'Пр. 9'!M978</f>
        <v>2899.5</v>
      </c>
    </row>
    <row r="409" spans="1:12" ht="30">
      <c r="A409" s="102" t="s">
        <v>264</v>
      </c>
      <c r="B409" s="100" t="s">
        <v>223</v>
      </c>
      <c r="C409" s="117">
        <v>3</v>
      </c>
      <c r="D409" s="100" t="s">
        <v>160</v>
      </c>
      <c r="E409" s="100" t="s">
        <v>265</v>
      </c>
      <c r="F409" s="99"/>
      <c r="G409" s="100"/>
      <c r="H409" s="74">
        <f>H410</f>
        <v>594.3</v>
      </c>
      <c r="I409" s="74">
        <f>I410</f>
        <v>1298</v>
      </c>
      <c r="J409" s="101">
        <f t="shared" si="20"/>
        <v>703.7</v>
      </c>
      <c r="K409" s="74">
        <f>K410</f>
        <v>855</v>
      </c>
      <c r="L409" s="74">
        <f>L410</f>
        <v>530</v>
      </c>
    </row>
    <row r="410" spans="1:12" ht="30">
      <c r="A410" s="22" t="s">
        <v>688</v>
      </c>
      <c r="B410" s="100" t="s">
        <v>223</v>
      </c>
      <c r="C410" s="117">
        <v>3</v>
      </c>
      <c r="D410" s="100" t="s">
        <v>160</v>
      </c>
      <c r="E410" s="100" t="s">
        <v>265</v>
      </c>
      <c r="F410" s="99" t="s">
        <v>689</v>
      </c>
      <c r="G410" s="100"/>
      <c r="H410" s="74">
        <f>H411</f>
        <v>594.3</v>
      </c>
      <c r="I410" s="74">
        <f>I411</f>
        <v>1298</v>
      </c>
      <c r="J410" s="101">
        <f t="shared" si="20"/>
        <v>703.7</v>
      </c>
      <c r="K410" s="74">
        <f>K411</f>
        <v>855</v>
      </c>
      <c r="L410" s="74">
        <f>L411</f>
        <v>530</v>
      </c>
    </row>
    <row r="411" spans="1:12" ht="15">
      <c r="A411" s="22" t="s">
        <v>89</v>
      </c>
      <c r="B411" s="100" t="s">
        <v>223</v>
      </c>
      <c r="C411" s="117">
        <v>3</v>
      </c>
      <c r="D411" s="100" t="s">
        <v>160</v>
      </c>
      <c r="E411" s="100" t="s">
        <v>265</v>
      </c>
      <c r="F411" s="99" t="s">
        <v>689</v>
      </c>
      <c r="G411" s="100" t="s">
        <v>90</v>
      </c>
      <c r="H411" s="74">
        <f>'Пр. 9'!I980</f>
        <v>594.3</v>
      </c>
      <c r="I411" s="74">
        <f>'Пр. 9'!J980</f>
        <v>1298</v>
      </c>
      <c r="J411" s="101">
        <f t="shared" si="20"/>
        <v>703.7</v>
      </c>
      <c r="K411" s="74">
        <f>'Пр. 9'!L980</f>
        <v>855</v>
      </c>
      <c r="L411" s="74">
        <f>'Пр. 9'!M980</f>
        <v>530</v>
      </c>
    </row>
    <row r="412" spans="1:12" ht="15">
      <c r="A412" s="102" t="s">
        <v>925</v>
      </c>
      <c r="B412" s="100" t="s">
        <v>223</v>
      </c>
      <c r="C412" s="117">
        <v>3</v>
      </c>
      <c r="D412" s="100" t="s">
        <v>160</v>
      </c>
      <c r="E412" s="100" t="s">
        <v>238</v>
      </c>
      <c r="F412" s="99"/>
      <c r="G412" s="100"/>
      <c r="H412" s="74">
        <f>H413</f>
        <v>771.8</v>
      </c>
      <c r="I412" s="74">
        <f>I413</f>
        <v>771.8</v>
      </c>
      <c r="J412" s="101">
        <f t="shared" si="20"/>
        <v>0</v>
      </c>
      <c r="K412" s="74">
        <f>K413</f>
        <v>1005.8</v>
      </c>
      <c r="L412" s="74">
        <f>L413</f>
        <v>320.8</v>
      </c>
    </row>
    <row r="413" spans="1:12" ht="30">
      <c r="A413" s="22" t="s">
        <v>688</v>
      </c>
      <c r="B413" s="100" t="s">
        <v>223</v>
      </c>
      <c r="C413" s="117">
        <v>3</v>
      </c>
      <c r="D413" s="100" t="s">
        <v>160</v>
      </c>
      <c r="E413" s="100" t="s">
        <v>238</v>
      </c>
      <c r="F413" s="99" t="s">
        <v>689</v>
      </c>
      <c r="G413" s="100"/>
      <c r="H413" s="74">
        <f>H414</f>
        <v>771.8</v>
      </c>
      <c r="I413" s="74">
        <f>I414</f>
        <v>771.8</v>
      </c>
      <c r="J413" s="101">
        <f t="shared" si="20"/>
        <v>0</v>
      </c>
      <c r="K413" s="74">
        <f>K414</f>
        <v>1005.8</v>
      </c>
      <c r="L413" s="74">
        <f>L414</f>
        <v>320.8</v>
      </c>
    </row>
    <row r="414" spans="1:12" ht="15">
      <c r="A414" s="22" t="s">
        <v>89</v>
      </c>
      <c r="B414" s="100" t="s">
        <v>223</v>
      </c>
      <c r="C414" s="117">
        <v>3</v>
      </c>
      <c r="D414" s="100" t="s">
        <v>160</v>
      </c>
      <c r="E414" s="100" t="s">
        <v>238</v>
      </c>
      <c r="F414" s="99" t="s">
        <v>689</v>
      </c>
      <c r="G414" s="100" t="s">
        <v>90</v>
      </c>
      <c r="H414" s="74">
        <f>'Пр. 9'!I982</f>
        <v>771.8</v>
      </c>
      <c r="I414" s="74">
        <f>'Пр. 9'!J982</f>
        <v>771.8</v>
      </c>
      <c r="J414" s="101">
        <f t="shared" si="20"/>
        <v>0</v>
      </c>
      <c r="K414" s="74">
        <f>'Пр. 9'!L982</f>
        <v>1005.8</v>
      </c>
      <c r="L414" s="74">
        <f>'Пр. 9'!M982</f>
        <v>320.8</v>
      </c>
    </row>
    <row r="415" spans="1:12" ht="30" hidden="1">
      <c r="A415" s="109" t="s">
        <v>743</v>
      </c>
      <c r="B415" s="100" t="s">
        <v>223</v>
      </c>
      <c r="C415" s="100" t="s">
        <v>134</v>
      </c>
      <c r="D415" s="100" t="s">
        <v>160</v>
      </c>
      <c r="E415" s="100" t="s">
        <v>742</v>
      </c>
      <c r="F415" s="99"/>
      <c r="G415" s="100"/>
      <c r="H415" s="74">
        <f>H416</f>
        <v>0</v>
      </c>
      <c r="I415" s="74">
        <f>I416</f>
        <v>0</v>
      </c>
      <c r="J415" s="101">
        <f t="shared" si="20"/>
        <v>0</v>
      </c>
      <c r="K415" s="74">
        <f>K416</f>
        <v>0</v>
      </c>
      <c r="L415" s="74">
        <f>L416</f>
        <v>0</v>
      </c>
    </row>
    <row r="416" spans="1:12" ht="30" hidden="1">
      <c r="A416" s="109" t="s">
        <v>688</v>
      </c>
      <c r="B416" s="100" t="s">
        <v>223</v>
      </c>
      <c r="C416" s="100" t="s">
        <v>134</v>
      </c>
      <c r="D416" s="100" t="s">
        <v>160</v>
      </c>
      <c r="E416" s="100" t="s">
        <v>742</v>
      </c>
      <c r="F416" s="99" t="s">
        <v>689</v>
      </c>
      <c r="G416" s="100"/>
      <c r="H416" s="74">
        <f>H417</f>
        <v>0</v>
      </c>
      <c r="I416" s="74">
        <f>I417</f>
        <v>0</v>
      </c>
      <c r="J416" s="101">
        <f t="shared" si="20"/>
        <v>0</v>
      </c>
      <c r="K416" s="74">
        <f>K417</f>
        <v>0</v>
      </c>
      <c r="L416" s="74">
        <f>L417</f>
        <v>0</v>
      </c>
    </row>
    <row r="417" spans="1:12" ht="15" hidden="1">
      <c r="A417" s="22" t="s">
        <v>89</v>
      </c>
      <c r="B417" s="100" t="s">
        <v>223</v>
      </c>
      <c r="C417" s="100" t="s">
        <v>134</v>
      </c>
      <c r="D417" s="100" t="s">
        <v>160</v>
      </c>
      <c r="E417" s="100" t="s">
        <v>742</v>
      </c>
      <c r="F417" s="99" t="s">
        <v>689</v>
      </c>
      <c r="G417" s="100" t="s">
        <v>90</v>
      </c>
      <c r="H417" s="74">
        <f>'Пр. 9'!I984</f>
        <v>0</v>
      </c>
      <c r="I417" s="74">
        <f>'Пр. 9'!J984</f>
        <v>0</v>
      </c>
      <c r="J417" s="101">
        <f t="shared" si="20"/>
        <v>0</v>
      </c>
      <c r="K417" s="74">
        <f>'Пр. 9'!L984</f>
        <v>0</v>
      </c>
      <c r="L417" s="74">
        <f>'Пр. 9'!M984</f>
        <v>0</v>
      </c>
    </row>
    <row r="418" spans="1:12" ht="30">
      <c r="A418" s="109" t="s">
        <v>1031</v>
      </c>
      <c r="B418" s="100" t="s">
        <v>223</v>
      </c>
      <c r="C418" s="117">
        <v>3</v>
      </c>
      <c r="D418" s="100" t="s">
        <v>160</v>
      </c>
      <c r="E418" s="100" t="s">
        <v>1030</v>
      </c>
      <c r="F418" s="99"/>
      <c r="G418" s="100"/>
      <c r="H418" s="74">
        <f>H419</f>
        <v>684.2</v>
      </c>
      <c r="I418" s="74">
        <f>I419</f>
        <v>684.2</v>
      </c>
      <c r="J418" s="101">
        <f t="shared" si="20"/>
        <v>0</v>
      </c>
      <c r="K418" s="74">
        <f>K419</f>
        <v>0</v>
      </c>
      <c r="L418" s="74">
        <f>L419</f>
        <v>0</v>
      </c>
    </row>
    <row r="419" spans="1:12" ht="30">
      <c r="A419" s="115" t="s">
        <v>688</v>
      </c>
      <c r="B419" s="100" t="s">
        <v>223</v>
      </c>
      <c r="C419" s="117">
        <v>3</v>
      </c>
      <c r="D419" s="100" t="s">
        <v>160</v>
      </c>
      <c r="E419" s="100" t="s">
        <v>1030</v>
      </c>
      <c r="F419" s="99" t="s">
        <v>689</v>
      </c>
      <c r="G419" s="100"/>
      <c r="H419" s="74">
        <f>H420</f>
        <v>684.2</v>
      </c>
      <c r="I419" s="74">
        <f>I420</f>
        <v>684.2</v>
      </c>
      <c r="J419" s="101">
        <f t="shared" si="20"/>
        <v>0</v>
      </c>
      <c r="K419" s="74">
        <f>K420</f>
        <v>0</v>
      </c>
      <c r="L419" s="74">
        <f>L420</f>
        <v>0</v>
      </c>
    </row>
    <row r="420" spans="1:12" ht="15">
      <c r="A420" s="22" t="s">
        <v>89</v>
      </c>
      <c r="B420" s="100" t="s">
        <v>223</v>
      </c>
      <c r="C420" s="117">
        <v>3</v>
      </c>
      <c r="D420" s="100" t="s">
        <v>160</v>
      </c>
      <c r="E420" s="100" t="s">
        <v>1030</v>
      </c>
      <c r="F420" s="99" t="s">
        <v>689</v>
      </c>
      <c r="G420" s="100" t="s">
        <v>90</v>
      </c>
      <c r="H420" s="74">
        <f>'Пр. 9'!I986</f>
        <v>684.2</v>
      </c>
      <c r="I420" s="74">
        <f>'Пр. 9'!J986</f>
        <v>684.2</v>
      </c>
      <c r="J420" s="101">
        <f t="shared" si="20"/>
        <v>0</v>
      </c>
      <c r="K420" s="74">
        <f>'Пр. 9'!L986</f>
        <v>0</v>
      </c>
      <c r="L420" s="74">
        <f>'Пр. 9'!M986</f>
        <v>0</v>
      </c>
    </row>
    <row r="421" spans="1:12" s="9" customFormat="1" ht="28.5">
      <c r="A421" s="97" t="s">
        <v>266</v>
      </c>
      <c r="B421" s="67" t="s">
        <v>223</v>
      </c>
      <c r="C421" s="67" t="s">
        <v>135</v>
      </c>
      <c r="D421" s="67" t="s">
        <v>149</v>
      </c>
      <c r="E421" s="67" t="s">
        <v>150</v>
      </c>
      <c r="F421" s="67"/>
      <c r="G421" s="95"/>
      <c r="H421" s="36">
        <f>H422</f>
        <v>802</v>
      </c>
      <c r="I421" s="36">
        <f>I422</f>
        <v>782</v>
      </c>
      <c r="J421" s="96">
        <f t="shared" si="20"/>
        <v>-20</v>
      </c>
      <c r="K421" s="36">
        <f>K422</f>
        <v>812</v>
      </c>
      <c r="L421" s="36">
        <f>L422</f>
        <v>822</v>
      </c>
    </row>
    <row r="422" spans="1:12" s="9" customFormat="1" ht="42.75">
      <c r="A422" s="116" t="s">
        <v>267</v>
      </c>
      <c r="B422" s="67" t="s">
        <v>223</v>
      </c>
      <c r="C422" s="67" t="s">
        <v>135</v>
      </c>
      <c r="D422" s="67" t="s">
        <v>147</v>
      </c>
      <c r="E422" s="67" t="s">
        <v>150</v>
      </c>
      <c r="F422" s="67"/>
      <c r="G422" s="95"/>
      <c r="H422" s="36">
        <f>H423+H428+H431</f>
        <v>802</v>
      </c>
      <c r="I422" s="36">
        <f>I423+I428+I431</f>
        <v>782</v>
      </c>
      <c r="J422" s="96">
        <f t="shared" si="20"/>
        <v>-20</v>
      </c>
      <c r="K422" s="36">
        <f>K423+K428+K431</f>
        <v>812</v>
      </c>
      <c r="L422" s="36">
        <f>L423+L428+L431</f>
        <v>822</v>
      </c>
    </row>
    <row r="423" spans="1:12" ht="15">
      <c r="A423" s="111" t="s">
        <v>926</v>
      </c>
      <c r="B423" s="99" t="s">
        <v>223</v>
      </c>
      <c r="C423" s="99" t="s">
        <v>135</v>
      </c>
      <c r="D423" s="99" t="s">
        <v>147</v>
      </c>
      <c r="E423" s="99" t="s">
        <v>268</v>
      </c>
      <c r="F423" s="99"/>
      <c r="G423" s="100"/>
      <c r="H423" s="74">
        <f>H426+H424</f>
        <v>170</v>
      </c>
      <c r="I423" s="74">
        <f>I426+I424</f>
        <v>150</v>
      </c>
      <c r="J423" s="101">
        <f t="shared" si="20"/>
        <v>-20</v>
      </c>
      <c r="K423" s="74">
        <f>K426+K424</f>
        <v>212</v>
      </c>
      <c r="L423" s="74">
        <f>L426+L424</f>
        <v>217</v>
      </c>
    </row>
    <row r="424" spans="1:12" ht="30">
      <c r="A424" s="123" t="s">
        <v>683</v>
      </c>
      <c r="B424" s="99" t="s">
        <v>223</v>
      </c>
      <c r="C424" s="99" t="s">
        <v>135</v>
      </c>
      <c r="D424" s="99" t="s">
        <v>147</v>
      </c>
      <c r="E424" s="99" t="s">
        <v>268</v>
      </c>
      <c r="F424" s="99" t="s">
        <v>682</v>
      </c>
      <c r="G424" s="100"/>
      <c r="H424" s="74">
        <f>H425</f>
        <v>70</v>
      </c>
      <c r="I424" s="74">
        <f>I425</f>
        <v>50</v>
      </c>
      <c r="J424" s="101">
        <f t="shared" si="20"/>
        <v>-20</v>
      </c>
      <c r="K424" s="74">
        <f>K425</f>
        <v>105</v>
      </c>
      <c r="L424" s="74">
        <f>L425</f>
        <v>110</v>
      </c>
    </row>
    <row r="425" spans="1:12" ht="15">
      <c r="A425" s="22" t="s">
        <v>95</v>
      </c>
      <c r="B425" s="99" t="s">
        <v>223</v>
      </c>
      <c r="C425" s="99" t="s">
        <v>135</v>
      </c>
      <c r="D425" s="99" t="s">
        <v>147</v>
      </c>
      <c r="E425" s="99" t="s">
        <v>268</v>
      </c>
      <c r="F425" s="99" t="s">
        <v>682</v>
      </c>
      <c r="G425" s="100" t="s">
        <v>96</v>
      </c>
      <c r="H425" s="74">
        <f>'Пр. 9'!I1020</f>
        <v>70</v>
      </c>
      <c r="I425" s="74">
        <f>'Пр. 9'!J1020</f>
        <v>50</v>
      </c>
      <c r="J425" s="101">
        <f t="shared" si="20"/>
        <v>-20</v>
      </c>
      <c r="K425" s="74">
        <f>'Пр. 9'!L1020</f>
        <v>105</v>
      </c>
      <c r="L425" s="74">
        <f>'Пр. 9'!M1020</f>
        <v>110</v>
      </c>
    </row>
    <row r="426" spans="1:12" ht="30">
      <c r="A426" s="22" t="s">
        <v>688</v>
      </c>
      <c r="B426" s="99" t="s">
        <v>223</v>
      </c>
      <c r="C426" s="99" t="s">
        <v>135</v>
      </c>
      <c r="D426" s="99" t="s">
        <v>147</v>
      </c>
      <c r="E426" s="99" t="s">
        <v>268</v>
      </c>
      <c r="F426" s="99" t="s">
        <v>689</v>
      </c>
      <c r="G426" s="100"/>
      <c r="H426" s="74">
        <f>H427</f>
        <v>100</v>
      </c>
      <c r="I426" s="74">
        <f>I427</f>
        <v>100</v>
      </c>
      <c r="J426" s="101">
        <f aca="true" t="shared" si="28" ref="J426:J489">I426-H426</f>
        <v>0</v>
      </c>
      <c r="K426" s="74">
        <f>K427</f>
        <v>107</v>
      </c>
      <c r="L426" s="74">
        <f>L427</f>
        <v>107</v>
      </c>
    </row>
    <row r="427" spans="1:12" ht="15">
      <c r="A427" s="102" t="s">
        <v>95</v>
      </c>
      <c r="B427" s="99" t="s">
        <v>223</v>
      </c>
      <c r="C427" s="99" t="s">
        <v>135</v>
      </c>
      <c r="D427" s="99" t="s">
        <v>147</v>
      </c>
      <c r="E427" s="99" t="s">
        <v>268</v>
      </c>
      <c r="F427" s="99" t="s">
        <v>689</v>
      </c>
      <c r="G427" s="100" t="s">
        <v>96</v>
      </c>
      <c r="H427" s="74">
        <f>'Пр. 9'!I1021</f>
        <v>100</v>
      </c>
      <c r="I427" s="74">
        <f>'Пр. 9'!J1021</f>
        <v>100</v>
      </c>
      <c r="J427" s="101">
        <f t="shared" si="28"/>
        <v>0</v>
      </c>
      <c r="K427" s="74">
        <f>'Пр. 9'!L1021</f>
        <v>107</v>
      </c>
      <c r="L427" s="74">
        <f>'Пр. 9'!M1021</f>
        <v>107</v>
      </c>
    </row>
    <row r="428" spans="1:12" ht="30">
      <c r="A428" s="22" t="s">
        <v>269</v>
      </c>
      <c r="B428" s="99" t="s">
        <v>223</v>
      </c>
      <c r="C428" s="99" t="s">
        <v>135</v>
      </c>
      <c r="D428" s="99" t="s">
        <v>147</v>
      </c>
      <c r="E428" s="100" t="s">
        <v>878</v>
      </c>
      <c r="F428" s="99"/>
      <c r="G428" s="100"/>
      <c r="H428" s="74">
        <f>H429</f>
        <v>512</v>
      </c>
      <c r="I428" s="74">
        <f>I429</f>
        <v>512</v>
      </c>
      <c r="J428" s="101">
        <f t="shared" si="28"/>
        <v>0</v>
      </c>
      <c r="K428" s="74">
        <f>K429</f>
        <v>480</v>
      </c>
      <c r="L428" s="74">
        <f>L429</f>
        <v>480</v>
      </c>
    </row>
    <row r="429" spans="1:12" ht="30">
      <c r="A429" s="22" t="s">
        <v>688</v>
      </c>
      <c r="B429" s="99" t="s">
        <v>223</v>
      </c>
      <c r="C429" s="99" t="s">
        <v>135</v>
      </c>
      <c r="D429" s="99" t="s">
        <v>147</v>
      </c>
      <c r="E429" s="100" t="s">
        <v>878</v>
      </c>
      <c r="F429" s="99" t="s">
        <v>689</v>
      </c>
      <c r="G429" s="100"/>
      <c r="H429" s="74">
        <f>H430</f>
        <v>512</v>
      </c>
      <c r="I429" s="74">
        <f>I430</f>
        <v>512</v>
      </c>
      <c r="J429" s="101">
        <f t="shared" si="28"/>
        <v>0</v>
      </c>
      <c r="K429" s="74">
        <f>K430</f>
        <v>480</v>
      </c>
      <c r="L429" s="74">
        <f>L430</f>
        <v>480</v>
      </c>
    </row>
    <row r="430" spans="1:12" ht="30">
      <c r="A430" s="22" t="s">
        <v>91</v>
      </c>
      <c r="B430" s="99" t="s">
        <v>223</v>
      </c>
      <c r="C430" s="99" t="s">
        <v>135</v>
      </c>
      <c r="D430" s="99" t="s">
        <v>147</v>
      </c>
      <c r="E430" s="100" t="s">
        <v>878</v>
      </c>
      <c r="F430" s="99" t="s">
        <v>689</v>
      </c>
      <c r="G430" s="100" t="s">
        <v>92</v>
      </c>
      <c r="H430" s="74">
        <f>'Пр. 9'!I992</f>
        <v>512</v>
      </c>
      <c r="I430" s="74">
        <f>'Пр. 9'!J992</f>
        <v>512</v>
      </c>
      <c r="J430" s="101">
        <f t="shared" si="28"/>
        <v>0</v>
      </c>
      <c r="K430" s="74">
        <f>'Пр. 9'!L992</f>
        <v>480</v>
      </c>
      <c r="L430" s="74">
        <f>'Пр. 9'!M992</f>
        <v>480</v>
      </c>
    </row>
    <row r="431" spans="1:12" ht="30">
      <c r="A431" s="22" t="s">
        <v>770</v>
      </c>
      <c r="B431" s="99" t="s">
        <v>223</v>
      </c>
      <c r="C431" s="99" t="s">
        <v>135</v>
      </c>
      <c r="D431" s="99" t="s">
        <v>147</v>
      </c>
      <c r="E431" s="99" t="s">
        <v>812</v>
      </c>
      <c r="F431" s="99"/>
      <c r="G431" s="100"/>
      <c r="H431" s="74">
        <f>H432</f>
        <v>120</v>
      </c>
      <c r="I431" s="74">
        <f>I432</f>
        <v>120</v>
      </c>
      <c r="J431" s="101">
        <f t="shared" si="28"/>
        <v>0</v>
      </c>
      <c r="K431" s="74">
        <f>K432</f>
        <v>120</v>
      </c>
      <c r="L431" s="74">
        <f>L432</f>
        <v>125</v>
      </c>
    </row>
    <row r="432" spans="1:12" ht="30">
      <c r="A432" s="22" t="s">
        <v>688</v>
      </c>
      <c r="B432" s="99" t="s">
        <v>223</v>
      </c>
      <c r="C432" s="99" t="s">
        <v>135</v>
      </c>
      <c r="D432" s="99" t="s">
        <v>147</v>
      </c>
      <c r="E432" s="99" t="s">
        <v>812</v>
      </c>
      <c r="F432" s="99" t="s">
        <v>689</v>
      </c>
      <c r="G432" s="100"/>
      <c r="H432" s="74">
        <f>H433</f>
        <v>120</v>
      </c>
      <c r="I432" s="74">
        <f>I433</f>
        <v>120</v>
      </c>
      <c r="J432" s="101">
        <f t="shared" si="28"/>
        <v>0</v>
      </c>
      <c r="K432" s="74">
        <f>K433</f>
        <v>120</v>
      </c>
      <c r="L432" s="74">
        <f>L433</f>
        <v>125</v>
      </c>
    </row>
    <row r="433" spans="1:12" ht="15">
      <c r="A433" s="102" t="s">
        <v>95</v>
      </c>
      <c r="B433" s="99" t="s">
        <v>223</v>
      </c>
      <c r="C433" s="99" t="s">
        <v>135</v>
      </c>
      <c r="D433" s="99" t="s">
        <v>147</v>
      </c>
      <c r="E433" s="99" t="s">
        <v>812</v>
      </c>
      <c r="F433" s="99" t="s">
        <v>689</v>
      </c>
      <c r="G433" s="100" t="s">
        <v>96</v>
      </c>
      <c r="H433" s="74">
        <f>'Пр. 9'!I1023</f>
        <v>120</v>
      </c>
      <c r="I433" s="74">
        <f>'Пр. 9'!J1023</f>
        <v>120</v>
      </c>
      <c r="J433" s="101">
        <f t="shared" si="28"/>
        <v>0</v>
      </c>
      <c r="K433" s="74">
        <f>'Пр. 9'!L1023</f>
        <v>120</v>
      </c>
      <c r="L433" s="74">
        <f>'Пр. 9'!M1023</f>
        <v>125</v>
      </c>
    </row>
    <row r="434" spans="1:12" s="9" customFormat="1" ht="42.75">
      <c r="A434" s="97" t="s">
        <v>270</v>
      </c>
      <c r="B434" s="67" t="s">
        <v>223</v>
      </c>
      <c r="C434" s="67" t="s">
        <v>137</v>
      </c>
      <c r="D434" s="67" t="s">
        <v>149</v>
      </c>
      <c r="E434" s="67" t="s">
        <v>150</v>
      </c>
      <c r="F434" s="67"/>
      <c r="G434" s="95"/>
      <c r="H434" s="36">
        <f>H435</f>
        <v>8469.300000000001</v>
      </c>
      <c r="I434" s="36">
        <f>I435</f>
        <v>7568.5</v>
      </c>
      <c r="J434" s="96">
        <f t="shared" si="28"/>
        <v>-900.8000000000011</v>
      </c>
      <c r="K434" s="36">
        <f>K435</f>
        <v>10982.6</v>
      </c>
      <c r="L434" s="36">
        <f>L435</f>
        <v>11147.600000000002</v>
      </c>
    </row>
    <row r="435" spans="1:12" s="9" customFormat="1" ht="28.5">
      <c r="A435" s="116" t="s">
        <v>271</v>
      </c>
      <c r="B435" s="67" t="s">
        <v>223</v>
      </c>
      <c r="C435" s="67" t="s">
        <v>137</v>
      </c>
      <c r="D435" s="67" t="s">
        <v>147</v>
      </c>
      <c r="E435" s="67" t="s">
        <v>150</v>
      </c>
      <c r="F435" s="67"/>
      <c r="G435" s="95"/>
      <c r="H435" s="36">
        <f>H436+H440+H444+H448+H451</f>
        <v>8469.300000000001</v>
      </c>
      <c r="I435" s="36">
        <f>I436+I440+I444+I448+I451</f>
        <v>7568.5</v>
      </c>
      <c r="J435" s="96">
        <f t="shared" si="28"/>
        <v>-900.8000000000011</v>
      </c>
      <c r="K435" s="36">
        <f>K436+K440+K444+K448+K451</f>
        <v>10982.6</v>
      </c>
      <c r="L435" s="36">
        <f>L436+L440+L444+L448+L451</f>
        <v>11147.600000000002</v>
      </c>
    </row>
    <row r="436" spans="1:12" ht="45">
      <c r="A436" s="102" t="s">
        <v>272</v>
      </c>
      <c r="B436" s="99" t="s">
        <v>223</v>
      </c>
      <c r="C436" s="99" t="s">
        <v>137</v>
      </c>
      <c r="D436" s="99" t="s">
        <v>147</v>
      </c>
      <c r="E436" s="99" t="s">
        <v>273</v>
      </c>
      <c r="F436" s="99"/>
      <c r="G436" s="100"/>
      <c r="H436" s="74">
        <f>H437</f>
        <v>0</v>
      </c>
      <c r="I436" s="74">
        <f>I437</f>
        <v>0</v>
      </c>
      <c r="J436" s="101">
        <f t="shared" si="28"/>
        <v>0</v>
      </c>
      <c r="K436" s="74">
        <f>K437</f>
        <v>2383.1000000000004</v>
      </c>
      <c r="L436" s="74">
        <f>L437</f>
        <v>2548.1000000000004</v>
      </c>
    </row>
    <row r="437" spans="1:12" ht="30">
      <c r="A437" s="22" t="s">
        <v>688</v>
      </c>
      <c r="B437" s="99" t="s">
        <v>223</v>
      </c>
      <c r="C437" s="99" t="s">
        <v>137</v>
      </c>
      <c r="D437" s="99" t="s">
        <v>147</v>
      </c>
      <c r="E437" s="99" t="s">
        <v>273</v>
      </c>
      <c r="F437" s="99" t="s">
        <v>689</v>
      </c>
      <c r="G437" s="100"/>
      <c r="H437" s="74">
        <f>H438</f>
        <v>0</v>
      </c>
      <c r="I437" s="74">
        <f>I438</f>
        <v>0</v>
      </c>
      <c r="J437" s="101">
        <f t="shared" si="28"/>
        <v>0</v>
      </c>
      <c r="K437" s="74">
        <f>K438</f>
        <v>2383.1000000000004</v>
      </c>
      <c r="L437" s="74">
        <f>L438</f>
        <v>2548.1000000000004</v>
      </c>
    </row>
    <row r="438" spans="1:12" ht="15">
      <c r="A438" s="22" t="s">
        <v>93</v>
      </c>
      <c r="B438" s="99" t="s">
        <v>223</v>
      </c>
      <c r="C438" s="99" t="s">
        <v>137</v>
      </c>
      <c r="D438" s="99" t="s">
        <v>147</v>
      </c>
      <c r="E438" s="99" t="s">
        <v>273</v>
      </c>
      <c r="F438" s="99" t="s">
        <v>689</v>
      </c>
      <c r="G438" s="100" t="s">
        <v>94</v>
      </c>
      <c r="H438" s="74">
        <f>'Пр. 9'!I998</f>
        <v>0</v>
      </c>
      <c r="I438" s="74">
        <f>'Пр. 9'!J998</f>
        <v>0</v>
      </c>
      <c r="J438" s="101">
        <f t="shared" si="28"/>
        <v>0</v>
      </c>
      <c r="K438" s="74">
        <f>'Пр. 9'!L998</f>
        <v>2383.1000000000004</v>
      </c>
      <c r="L438" s="74">
        <f>'Пр. 9'!M998</f>
        <v>2548.1000000000004</v>
      </c>
    </row>
    <row r="439" spans="1:12" s="5" customFormat="1" ht="15" hidden="1">
      <c r="A439" s="102" t="s">
        <v>95</v>
      </c>
      <c r="B439" s="99" t="s">
        <v>223</v>
      </c>
      <c r="C439" s="99" t="s">
        <v>137</v>
      </c>
      <c r="D439" s="99" t="s">
        <v>147</v>
      </c>
      <c r="E439" s="99" t="s">
        <v>273</v>
      </c>
      <c r="F439" s="99" t="s">
        <v>689</v>
      </c>
      <c r="G439" s="100" t="s">
        <v>96</v>
      </c>
      <c r="H439" s="74">
        <f>'Пр. 9'!I1027</f>
        <v>0</v>
      </c>
      <c r="I439" s="74">
        <f>'Пр. 9'!J1027</f>
        <v>0</v>
      </c>
      <c r="J439" s="101">
        <f t="shared" si="28"/>
        <v>0</v>
      </c>
      <c r="K439" s="74">
        <f>'Пр. 9'!L1027</f>
        <v>0</v>
      </c>
      <c r="L439" s="74">
        <f>'Пр. 9'!M1027</f>
        <v>0</v>
      </c>
    </row>
    <row r="440" spans="1:12" s="5" customFormat="1" ht="30">
      <c r="A440" s="102" t="s">
        <v>274</v>
      </c>
      <c r="B440" s="99" t="s">
        <v>223</v>
      </c>
      <c r="C440" s="99" t="s">
        <v>137</v>
      </c>
      <c r="D440" s="99" t="s">
        <v>147</v>
      </c>
      <c r="E440" s="99" t="s">
        <v>275</v>
      </c>
      <c r="F440" s="99"/>
      <c r="G440" s="100"/>
      <c r="H440" s="74">
        <f>H441</f>
        <v>1450</v>
      </c>
      <c r="I440" s="74">
        <f>I441</f>
        <v>1250</v>
      </c>
      <c r="J440" s="101">
        <f t="shared" si="28"/>
        <v>-200</v>
      </c>
      <c r="K440" s="74">
        <f>K441</f>
        <v>1300</v>
      </c>
      <c r="L440" s="74">
        <f>L441</f>
        <v>1300</v>
      </c>
    </row>
    <row r="441" spans="1:12" s="5" customFormat="1" ht="30">
      <c r="A441" s="102" t="s">
        <v>688</v>
      </c>
      <c r="B441" s="99" t="s">
        <v>223</v>
      </c>
      <c r="C441" s="99" t="s">
        <v>137</v>
      </c>
      <c r="D441" s="99" t="s">
        <v>147</v>
      </c>
      <c r="E441" s="99" t="s">
        <v>275</v>
      </c>
      <c r="F441" s="99" t="s">
        <v>689</v>
      </c>
      <c r="G441" s="100"/>
      <c r="H441" s="74">
        <f>H442</f>
        <v>1450</v>
      </c>
      <c r="I441" s="74">
        <f>I442</f>
        <v>1250</v>
      </c>
      <c r="J441" s="101">
        <f t="shared" si="28"/>
        <v>-200</v>
      </c>
      <c r="K441" s="74">
        <f>K442</f>
        <v>1300</v>
      </c>
      <c r="L441" s="74">
        <f>L442</f>
        <v>1300</v>
      </c>
    </row>
    <row r="442" spans="1:12" s="5" customFormat="1" ht="15">
      <c r="A442" s="22" t="s">
        <v>93</v>
      </c>
      <c r="B442" s="99" t="s">
        <v>223</v>
      </c>
      <c r="C442" s="99" t="s">
        <v>137</v>
      </c>
      <c r="D442" s="99" t="s">
        <v>147</v>
      </c>
      <c r="E442" s="99" t="s">
        <v>275</v>
      </c>
      <c r="F442" s="99" t="s">
        <v>689</v>
      </c>
      <c r="G442" s="100" t="s">
        <v>94</v>
      </c>
      <c r="H442" s="74">
        <f>'Пр. 9'!I1000</f>
        <v>1450</v>
      </c>
      <c r="I442" s="74">
        <f>'Пр. 9'!J1000</f>
        <v>1250</v>
      </c>
      <c r="J442" s="101">
        <f t="shared" si="28"/>
        <v>-200</v>
      </c>
      <c r="K442" s="74">
        <f>'Пр. 9'!L1000</f>
        <v>1300</v>
      </c>
      <c r="L442" s="74">
        <f>'Пр. 9'!M1000</f>
        <v>1300</v>
      </c>
    </row>
    <row r="443" spans="1:12" s="5" customFormat="1" ht="15" hidden="1">
      <c r="A443" s="102" t="s">
        <v>95</v>
      </c>
      <c r="B443" s="99" t="s">
        <v>223</v>
      </c>
      <c r="C443" s="99" t="s">
        <v>137</v>
      </c>
      <c r="D443" s="99" t="s">
        <v>147</v>
      </c>
      <c r="E443" s="99" t="s">
        <v>275</v>
      </c>
      <c r="F443" s="99" t="s">
        <v>689</v>
      </c>
      <c r="G443" s="100" t="s">
        <v>96</v>
      </c>
      <c r="H443" s="74">
        <f>'Пр. 9'!I1029</f>
        <v>0</v>
      </c>
      <c r="I443" s="74">
        <f>'Пр. 9'!J1029</f>
        <v>0</v>
      </c>
      <c r="J443" s="101">
        <f t="shared" si="28"/>
        <v>0</v>
      </c>
      <c r="K443" s="74">
        <f>'Пр. 9'!L1029</f>
        <v>0</v>
      </c>
      <c r="L443" s="74">
        <f>'Пр. 9'!M1029</f>
        <v>0</v>
      </c>
    </row>
    <row r="444" spans="1:12" s="5" customFormat="1" ht="30">
      <c r="A444" s="102" t="s">
        <v>276</v>
      </c>
      <c r="B444" s="99" t="s">
        <v>223</v>
      </c>
      <c r="C444" s="99" t="s">
        <v>137</v>
      </c>
      <c r="D444" s="99" t="s">
        <v>147</v>
      </c>
      <c r="E444" s="99" t="s">
        <v>277</v>
      </c>
      <c r="F444" s="99"/>
      <c r="G444" s="100"/>
      <c r="H444" s="74">
        <f>H445</f>
        <v>0</v>
      </c>
      <c r="I444" s="74">
        <f>I445</f>
        <v>0</v>
      </c>
      <c r="J444" s="101">
        <f t="shared" si="28"/>
        <v>0</v>
      </c>
      <c r="K444" s="74">
        <f>K445</f>
        <v>250</v>
      </c>
      <c r="L444" s="74">
        <f>L445</f>
        <v>250</v>
      </c>
    </row>
    <row r="445" spans="1:12" s="5" customFormat="1" ht="30">
      <c r="A445" s="22" t="s">
        <v>688</v>
      </c>
      <c r="B445" s="99" t="s">
        <v>223</v>
      </c>
      <c r="C445" s="99" t="s">
        <v>137</v>
      </c>
      <c r="D445" s="99" t="s">
        <v>147</v>
      </c>
      <c r="E445" s="99" t="s">
        <v>277</v>
      </c>
      <c r="F445" s="99" t="s">
        <v>689</v>
      </c>
      <c r="G445" s="100"/>
      <c r="H445" s="74">
        <f>H446</f>
        <v>0</v>
      </c>
      <c r="I445" s="74">
        <f>I446</f>
        <v>0</v>
      </c>
      <c r="J445" s="101">
        <f t="shared" si="28"/>
        <v>0</v>
      </c>
      <c r="K445" s="74">
        <f>K446</f>
        <v>250</v>
      </c>
      <c r="L445" s="74">
        <f>L446</f>
        <v>250</v>
      </c>
    </row>
    <row r="446" spans="1:12" s="5" customFormat="1" ht="15">
      <c r="A446" s="22" t="s">
        <v>93</v>
      </c>
      <c r="B446" s="99" t="s">
        <v>223</v>
      </c>
      <c r="C446" s="99" t="s">
        <v>137</v>
      </c>
      <c r="D446" s="99" t="s">
        <v>147</v>
      </c>
      <c r="E446" s="99" t="s">
        <v>277</v>
      </c>
      <c r="F446" s="99" t="s">
        <v>689</v>
      </c>
      <c r="G446" s="100" t="s">
        <v>94</v>
      </c>
      <c r="H446" s="74">
        <f>'Пр. 9'!I1002</f>
        <v>0</v>
      </c>
      <c r="I446" s="74">
        <f>'Пр. 9'!J1002</f>
        <v>0</v>
      </c>
      <c r="J446" s="101">
        <f t="shared" si="28"/>
        <v>0</v>
      </c>
      <c r="K446" s="74">
        <f>'Пр. 9'!L1002</f>
        <v>250</v>
      </c>
      <c r="L446" s="74">
        <f>'Пр. 9'!M1002</f>
        <v>250</v>
      </c>
    </row>
    <row r="447" spans="1:12" s="5" customFormat="1" ht="15" hidden="1">
      <c r="A447" s="102" t="s">
        <v>95</v>
      </c>
      <c r="B447" s="99" t="s">
        <v>223</v>
      </c>
      <c r="C447" s="99" t="s">
        <v>137</v>
      </c>
      <c r="D447" s="99" t="s">
        <v>147</v>
      </c>
      <c r="E447" s="99" t="s">
        <v>277</v>
      </c>
      <c r="F447" s="99" t="s">
        <v>689</v>
      </c>
      <c r="G447" s="100" t="s">
        <v>96</v>
      </c>
      <c r="H447" s="74">
        <f>'Пр. 9'!I1031</f>
        <v>0</v>
      </c>
      <c r="I447" s="74">
        <f>'Пр. 9'!J1031</f>
        <v>0</v>
      </c>
      <c r="J447" s="101">
        <f t="shared" si="28"/>
        <v>0</v>
      </c>
      <c r="K447" s="74">
        <f>'Пр. 9'!L1031</f>
        <v>0</v>
      </c>
      <c r="L447" s="74">
        <f>'Пр. 9'!M1031</f>
        <v>0</v>
      </c>
    </row>
    <row r="448" spans="1:12" s="5" customFormat="1" ht="15">
      <c r="A448" s="102" t="s">
        <v>278</v>
      </c>
      <c r="B448" s="99" t="s">
        <v>223</v>
      </c>
      <c r="C448" s="99" t="s">
        <v>137</v>
      </c>
      <c r="D448" s="99" t="s">
        <v>147</v>
      </c>
      <c r="E448" s="100" t="s">
        <v>876</v>
      </c>
      <c r="F448" s="99"/>
      <c r="G448" s="100"/>
      <c r="H448" s="74">
        <f>H449</f>
        <v>11.400000000000002</v>
      </c>
      <c r="I448" s="74">
        <f>I449</f>
        <v>11.400000000000002</v>
      </c>
      <c r="J448" s="101">
        <f t="shared" si="28"/>
        <v>0</v>
      </c>
      <c r="K448" s="74">
        <f>K449</f>
        <v>41.6</v>
      </c>
      <c r="L448" s="74">
        <f>L449</f>
        <v>41.6</v>
      </c>
    </row>
    <row r="449" spans="1:12" s="5" customFormat="1" ht="30">
      <c r="A449" s="22" t="s">
        <v>688</v>
      </c>
      <c r="B449" s="99" t="s">
        <v>223</v>
      </c>
      <c r="C449" s="99" t="s">
        <v>137</v>
      </c>
      <c r="D449" s="99" t="s">
        <v>147</v>
      </c>
      <c r="E449" s="100" t="s">
        <v>876</v>
      </c>
      <c r="F449" s="99" t="s">
        <v>689</v>
      </c>
      <c r="G449" s="100"/>
      <c r="H449" s="74">
        <f>H450</f>
        <v>11.400000000000002</v>
      </c>
      <c r="I449" s="74">
        <f>I450</f>
        <v>11.400000000000002</v>
      </c>
      <c r="J449" s="101">
        <f t="shared" si="28"/>
        <v>0</v>
      </c>
      <c r="K449" s="74">
        <f>K450</f>
        <v>41.6</v>
      </c>
      <c r="L449" s="74">
        <f>L450</f>
        <v>41.6</v>
      </c>
    </row>
    <row r="450" spans="1:12" s="5" customFormat="1" ht="15">
      <c r="A450" s="22" t="s">
        <v>93</v>
      </c>
      <c r="B450" s="99" t="s">
        <v>223</v>
      </c>
      <c r="C450" s="99" t="s">
        <v>137</v>
      </c>
      <c r="D450" s="99" t="s">
        <v>147</v>
      </c>
      <c r="E450" s="100" t="s">
        <v>876</v>
      </c>
      <c r="F450" s="99" t="s">
        <v>689</v>
      </c>
      <c r="G450" s="100" t="s">
        <v>94</v>
      </c>
      <c r="H450" s="74">
        <f>'Пр. 9'!I1004</f>
        <v>11.400000000000002</v>
      </c>
      <c r="I450" s="74">
        <f>'Пр. 9'!J1004</f>
        <v>11.400000000000002</v>
      </c>
      <c r="J450" s="101">
        <f t="shared" si="28"/>
        <v>0</v>
      </c>
      <c r="K450" s="74">
        <f>'Пр. 9'!L1004</f>
        <v>41.6</v>
      </c>
      <c r="L450" s="74">
        <f>'Пр. 9'!M1004</f>
        <v>41.6</v>
      </c>
    </row>
    <row r="451" spans="1:12" s="5" customFormat="1" ht="30">
      <c r="A451" s="22" t="s">
        <v>710</v>
      </c>
      <c r="B451" s="99" t="s">
        <v>223</v>
      </c>
      <c r="C451" s="99" t="s">
        <v>137</v>
      </c>
      <c r="D451" s="99" t="s">
        <v>147</v>
      </c>
      <c r="E451" s="100" t="s">
        <v>877</v>
      </c>
      <c r="F451" s="99"/>
      <c r="G451" s="100"/>
      <c r="H451" s="74">
        <f>H452</f>
        <v>7007.900000000001</v>
      </c>
      <c r="I451" s="74">
        <f>I452</f>
        <v>6307.1</v>
      </c>
      <c r="J451" s="101">
        <f t="shared" si="28"/>
        <v>-700.8000000000002</v>
      </c>
      <c r="K451" s="74">
        <f>K452</f>
        <v>7007.900000000001</v>
      </c>
      <c r="L451" s="74">
        <f>L452</f>
        <v>7007.900000000001</v>
      </c>
    </row>
    <row r="452" spans="1:12" s="5" customFormat="1" ht="30">
      <c r="A452" s="22" t="s">
        <v>688</v>
      </c>
      <c r="B452" s="99" t="s">
        <v>223</v>
      </c>
      <c r="C452" s="99" t="s">
        <v>137</v>
      </c>
      <c r="D452" s="99" t="s">
        <v>147</v>
      </c>
      <c r="E452" s="100" t="s">
        <v>877</v>
      </c>
      <c r="F452" s="99" t="s">
        <v>689</v>
      </c>
      <c r="G452" s="100"/>
      <c r="H452" s="74">
        <f>H453</f>
        <v>7007.900000000001</v>
      </c>
      <c r="I452" s="74">
        <f>I453</f>
        <v>6307.1</v>
      </c>
      <c r="J452" s="101">
        <f t="shared" si="28"/>
        <v>-700.8000000000002</v>
      </c>
      <c r="K452" s="74">
        <f>K453</f>
        <v>7007.900000000001</v>
      </c>
      <c r="L452" s="74">
        <f>L453</f>
        <v>7007.900000000001</v>
      </c>
    </row>
    <row r="453" spans="1:12" s="5" customFormat="1" ht="15">
      <c r="A453" s="22" t="s">
        <v>93</v>
      </c>
      <c r="B453" s="99" t="s">
        <v>223</v>
      </c>
      <c r="C453" s="99" t="s">
        <v>137</v>
      </c>
      <c r="D453" s="99" t="s">
        <v>147</v>
      </c>
      <c r="E453" s="100" t="s">
        <v>877</v>
      </c>
      <c r="F453" s="99" t="s">
        <v>689</v>
      </c>
      <c r="G453" s="100" t="s">
        <v>94</v>
      </c>
      <c r="H453" s="74">
        <f>'Пр. 9'!I1006</f>
        <v>7007.900000000001</v>
      </c>
      <c r="I453" s="74">
        <f>'Пр. 9'!J1006</f>
        <v>6307.1</v>
      </c>
      <c r="J453" s="101">
        <f t="shared" si="28"/>
        <v>-700.8000000000002</v>
      </c>
      <c r="K453" s="74">
        <f>'Пр. 9'!L1006</f>
        <v>7007.900000000001</v>
      </c>
      <c r="L453" s="74">
        <f>'Пр. 9'!M1006</f>
        <v>7007.900000000001</v>
      </c>
    </row>
    <row r="454" spans="1:12" s="9" customFormat="1" ht="42.75">
      <c r="A454" s="97" t="s">
        <v>279</v>
      </c>
      <c r="B454" s="67" t="s">
        <v>223</v>
      </c>
      <c r="C454" s="67" t="s">
        <v>250</v>
      </c>
      <c r="D454" s="67" t="s">
        <v>149</v>
      </c>
      <c r="E454" s="67" t="s">
        <v>150</v>
      </c>
      <c r="F454" s="67"/>
      <c r="G454" s="95"/>
      <c r="H454" s="36">
        <f>H455</f>
        <v>286.4</v>
      </c>
      <c r="I454" s="36">
        <f>I455</f>
        <v>86.4</v>
      </c>
      <c r="J454" s="96">
        <f t="shared" si="28"/>
        <v>-199.99999999999997</v>
      </c>
      <c r="K454" s="36">
        <f>K455</f>
        <v>510</v>
      </c>
      <c r="L454" s="36">
        <f>L455</f>
        <v>521</v>
      </c>
    </row>
    <row r="455" spans="1:12" s="5" customFormat="1" ht="28.5">
      <c r="A455" s="116" t="s">
        <v>281</v>
      </c>
      <c r="B455" s="95" t="s">
        <v>223</v>
      </c>
      <c r="C455" s="94">
        <v>6</v>
      </c>
      <c r="D455" s="95" t="s">
        <v>147</v>
      </c>
      <c r="E455" s="95" t="s">
        <v>150</v>
      </c>
      <c r="F455" s="67"/>
      <c r="G455" s="95"/>
      <c r="H455" s="36">
        <f>H456+H461</f>
        <v>286.4</v>
      </c>
      <c r="I455" s="36">
        <f>I456+I461</f>
        <v>86.4</v>
      </c>
      <c r="J455" s="96">
        <f t="shared" si="28"/>
        <v>-199.99999999999997</v>
      </c>
      <c r="K455" s="36">
        <f>K456+K461</f>
        <v>510</v>
      </c>
      <c r="L455" s="36">
        <f>L456+L461</f>
        <v>521</v>
      </c>
    </row>
    <row r="456" spans="1:12" s="5" customFormat="1" ht="15">
      <c r="A456" s="102" t="s">
        <v>282</v>
      </c>
      <c r="B456" s="100" t="s">
        <v>223</v>
      </c>
      <c r="C456" s="117">
        <v>6</v>
      </c>
      <c r="D456" s="100" t="s">
        <v>147</v>
      </c>
      <c r="E456" s="100" t="s">
        <v>283</v>
      </c>
      <c r="F456" s="99"/>
      <c r="G456" s="100"/>
      <c r="H456" s="74">
        <f>H457+H459</f>
        <v>86.4</v>
      </c>
      <c r="I456" s="74">
        <f>I457+I459</f>
        <v>86.4</v>
      </c>
      <c r="J456" s="101">
        <f t="shared" si="28"/>
        <v>0</v>
      </c>
      <c r="K456" s="74">
        <f>K457+K459</f>
        <v>310</v>
      </c>
      <c r="L456" s="74">
        <f>L457+L459</f>
        <v>321</v>
      </c>
    </row>
    <row r="457" spans="1:12" s="5" customFormat="1" ht="30" hidden="1">
      <c r="A457" s="102" t="s">
        <v>683</v>
      </c>
      <c r="B457" s="100" t="s">
        <v>223</v>
      </c>
      <c r="C457" s="117">
        <v>6</v>
      </c>
      <c r="D457" s="100" t="s">
        <v>147</v>
      </c>
      <c r="E457" s="100" t="s">
        <v>283</v>
      </c>
      <c r="F457" s="99" t="s">
        <v>682</v>
      </c>
      <c r="G457" s="100"/>
      <c r="H457" s="74">
        <f>H458</f>
        <v>0</v>
      </c>
      <c r="I457" s="74">
        <f>I458</f>
        <v>0</v>
      </c>
      <c r="J457" s="101">
        <f t="shared" si="28"/>
        <v>0</v>
      </c>
      <c r="K457" s="74">
        <f>K458</f>
        <v>0</v>
      </c>
      <c r="L457" s="74">
        <f>L458</f>
        <v>0</v>
      </c>
    </row>
    <row r="458" spans="1:12" s="5" customFormat="1" ht="15" hidden="1">
      <c r="A458" s="102" t="s">
        <v>95</v>
      </c>
      <c r="B458" s="100" t="s">
        <v>223</v>
      </c>
      <c r="C458" s="117">
        <v>6</v>
      </c>
      <c r="D458" s="100" t="s">
        <v>147</v>
      </c>
      <c r="E458" s="100" t="s">
        <v>283</v>
      </c>
      <c r="F458" s="99" t="s">
        <v>682</v>
      </c>
      <c r="G458" s="100" t="s">
        <v>96</v>
      </c>
      <c r="H458" s="74">
        <f>'Пр. 9'!I1035</f>
        <v>0</v>
      </c>
      <c r="I458" s="74">
        <f>'Пр. 9'!J1035</f>
        <v>0</v>
      </c>
      <c r="J458" s="101">
        <f t="shared" si="28"/>
        <v>0</v>
      </c>
      <c r="K458" s="74">
        <f>'Пр. 9'!L1035</f>
        <v>0</v>
      </c>
      <c r="L458" s="74">
        <f>'Пр. 9'!M1035</f>
        <v>0</v>
      </c>
    </row>
    <row r="459" spans="1:12" s="5" customFormat="1" ht="30">
      <c r="A459" s="22" t="s">
        <v>688</v>
      </c>
      <c r="B459" s="100" t="s">
        <v>223</v>
      </c>
      <c r="C459" s="117">
        <v>6</v>
      </c>
      <c r="D459" s="100" t="s">
        <v>147</v>
      </c>
      <c r="E459" s="100" t="s">
        <v>283</v>
      </c>
      <c r="F459" s="99" t="s">
        <v>689</v>
      </c>
      <c r="G459" s="100"/>
      <c r="H459" s="74">
        <f>H460</f>
        <v>86.4</v>
      </c>
      <c r="I459" s="74">
        <f>I460</f>
        <v>86.4</v>
      </c>
      <c r="J459" s="101">
        <f t="shared" si="28"/>
        <v>0</v>
      </c>
      <c r="K459" s="74">
        <f>K460</f>
        <v>310</v>
      </c>
      <c r="L459" s="74">
        <f>L460</f>
        <v>321</v>
      </c>
    </row>
    <row r="460" spans="1:12" s="5" customFormat="1" ht="15">
      <c r="A460" s="102" t="s">
        <v>95</v>
      </c>
      <c r="B460" s="100" t="s">
        <v>223</v>
      </c>
      <c r="C460" s="117">
        <v>6</v>
      </c>
      <c r="D460" s="100" t="s">
        <v>147</v>
      </c>
      <c r="E460" s="100" t="s">
        <v>283</v>
      </c>
      <c r="F460" s="99" t="s">
        <v>689</v>
      </c>
      <c r="G460" s="100" t="s">
        <v>96</v>
      </c>
      <c r="H460" s="74">
        <f>'Пр. 9'!I1036</f>
        <v>86.4</v>
      </c>
      <c r="I460" s="74">
        <f>'Пр. 9'!J1036</f>
        <v>86.4</v>
      </c>
      <c r="J460" s="101">
        <f t="shared" si="28"/>
        <v>0</v>
      </c>
      <c r="K460" s="74">
        <f>'Пр. 9'!L1036</f>
        <v>310</v>
      </c>
      <c r="L460" s="74">
        <f>'Пр. 9'!M1036</f>
        <v>321</v>
      </c>
    </row>
    <row r="461" spans="1:12" s="5" customFormat="1" ht="30">
      <c r="A461" s="109" t="s">
        <v>879</v>
      </c>
      <c r="B461" s="100" t="s">
        <v>223</v>
      </c>
      <c r="C461" s="100" t="s">
        <v>250</v>
      </c>
      <c r="D461" s="99" t="s">
        <v>147</v>
      </c>
      <c r="E461" s="100" t="s">
        <v>868</v>
      </c>
      <c r="F461" s="99"/>
      <c r="G461" s="100"/>
      <c r="H461" s="74">
        <f>H464+H462</f>
        <v>200</v>
      </c>
      <c r="I461" s="74">
        <f>I464+I462</f>
        <v>0</v>
      </c>
      <c r="J461" s="101">
        <f t="shared" si="28"/>
        <v>-200</v>
      </c>
      <c r="K461" s="74">
        <f>K464+K462</f>
        <v>200</v>
      </c>
      <c r="L461" s="74">
        <f>L464+L462</f>
        <v>200</v>
      </c>
    </row>
    <row r="462" spans="1:12" s="5" customFormat="1" ht="31.5">
      <c r="A462" s="291" t="s">
        <v>683</v>
      </c>
      <c r="B462" s="100" t="s">
        <v>223</v>
      </c>
      <c r="C462" s="100" t="s">
        <v>250</v>
      </c>
      <c r="D462" s="99" t="s">
        <v>147</v>
      </c>
      <c r="E462" s="100" t="s">
        <v>868</v>
      </c>
      <c r="F462" s="99" t="s">
        <v>682</v>
      </c>
      <c r="G462" s="100"/>
      <c r="H462" s="74">
        <f>H463</f>
        <v>0</v>
      </c>
      <c r="I462" s="74">
        <f>I463</f>
        <v>0</v>
      </c>
      <c r="J462" s="101">
        <f t="shared" si="28"/>
        <v>0</v>
      </c>
      <c r="K462" s="74">
        <f>K463</f>
        <v>150</v>
      </c>
      <c r="L462" s="74">
        <f>L463</f>
        <v>150</v>
      </c>
    </row>
    <row r="463" spans="1:12" s="5" customFormat="1" ht="15">
      <c r="A463" s="102" t="s">
        <v>95</v>
      </c>
      <c r="B463" s="100" t="s">
        <v>223</v>
      </c>
      <c r="C463" s="100" t="s">
        <v>250</v>
      </c>
      <c r="D463" s="99" t="s">
        <v>147</v>
      </c>
      <c r="E463" s="100" t="s">
        <v>868</v>
      </c>
      <c r="F463" s="99" t="s">
        <v>682</v>
      </c>
      <c r="G463" s="100" t="s">
        <v>96</v>
      </c>
      <c r="H463" s="74">
        <f>'Пр. 9'!I1038</f>
        <v>0</v>
      </c>
      <c r="I463" s="74">
        <f>'Пр. 9'!J1038</f>
        <v>0</v>
      </c>
      <c r="J463" s="101">
        <f t="shared" si="28"/>
        <v>0</v>
      </c>
      <c r="K463" s="74">
        <f>'Пр. 9'!L1038</f>
        <v>150</v>
      </c>
      <c r="L463" s="74">
        <f>'Пр. 9'!M1038</f>
        <v>150</v>
      </c>
    </row>
    <row r="464" spans="1:12" s="5" customFormat="1" ht="30">
      <c r="A464" s="109" t="s">
        <v>688</v>
      </c>
      <c r="B464" s="100" t="s">
        <v>223</v>
      </c>
      <c r="C464" s="100" t="s">
        <v>250</v>
      </c>
      <c r="D464" s="99" t="s">
        <v>147</v>
      </c>
      <c r="E464" s="100" t="s">
        <v>868</v>
      </c>
      <c r="F464" s="99" t="s">
        <v>689</v>
      </c>
      <c r="G464" s="100"/>
      <c r="H464" s="74">
        <f>H465</f>
        <v>200</v>
      </c>
      <c r="I464" s="74">
        <f>I465</f>
        <v>0</v>
      </c>
      <c r="J464" s="101">
        <f t="shared" si="28"/>
        <v>-200</v>
      </c>
      <c r="K464" s="74">
        <f>K465</f>
        <v>50</v>
      </c>
      <c r="L464" s="74">
        <f>L465</f>
        <v>50</v>
      </c>
    </row>
    <row r="465" spans="1:12" s="5" customFormat="1" ht="15">
      <c r="A465" s="102" t="s">
        <v>95</v>
      </c>
      <c r="B465" s="100" t="s">
        <v>223</v>
      </c>
      <c r="C465" s="100" t="s">
        <v>250</v>
      </c>
      <c r="D465" s="99" t="s">
        <v>147</v>
      </c>
      <c r="E465" s="100" t="s">
        <v>868</v>
      </c>
      <c r="F465" s="99" t="s">
        <v>689</v>
      </c>
      <c r="G465" s="100" t="s">
        <v>96</v>
      </c>
      <c r="H465" s="74">
        <f>'Пр. 9'!I1039</f>
        <v>200</v>
      </c>
      <c r="I465" s="74">
        <f>'Пр. 9'!J1039</f>
        <v>0</v>
      </c>
      <c r="J465" s="101">
        <f t="shared" si="28"/>
        <v>-200</v>
      </c>
      <c r="K465" s="74">
        <f>'Пр. 9'!L1039</f>
        <v>50</v>
      </c>
      <c r="L465" s="74">
        <f>'Пр. 9'!M1039</f>
        <v>50</v>
      </c>
    </row>
    <row r="466" spans="1:12" s="5" customFormat="1" ht="28.5">
      <c r="A466" s="124" t="s">
        <v>715</v>
      </c>
      <c r="B466" s="67" t="s">
        <v>223</v>
      </c>
      <c r="C466" s="67" t="s">
        <v>280</v>
      </c>
      <c r="D466" s="67" t="s">
        <v>149</v>
      </c>
      <c r="E466" s="67" t="s">
        <v>150</v>
      </c>
      <c r="F466" s="67"/>
      <c r="G466" s="95"/>
      <c r="H466" s="36">
        <f>H467</f>
        <v>61902.7</v>
      </c>
      <c r="I466" s="36">
        <f>I467</f>
        <v>61902.7</v>
      </c>
      <c r="J466" s="96">
        <f t="shared" si="28"/>
        <v>0</v>
      </c>
      <c r="K466" s="36">
        <f>K467</f>
        <v>61933.3</v>
      </c>
      <c r="L466" s="36">
        <f>L467</f>
        <v>61987</v>
      </c>
    </row>
    <row r="467" spans="1:12" s="5" customFormat="1" ht="28.5">
      <c r="A467" s="125" t="s">
        <v>708</v>
      </c>
      <c r="B467" s="67" t="s">
        <v>223</v>
      </c>
      <c r="C467" s="67" t="s">
        <v>280</v>
      </c>
      <c r="D467" s="67" t="s">
        <v>147</v>
      </c>
      <c r="E467" s="67" t="s">
        <v>150</v>
      </c>
      <c r="F467" s="67"/>
      <c r="G467" s="95"/>
      <c r="H467" s="36">
        <f>H474+H480+H483+H488+H491+H494+H468+H471+H477</f>
        <v>61902.7</v>
      </c>
      <c r="I467" s="36">
        <f>I474+I480+I483+I488+I491+I494+I468+I471+I477</f>
        <v>61902.7</v>
      </c>
      <c r="J467" s="96">
        <f t="shared" si="28"/>
        <v>0</v>
      </c>
      <c r="K467" s="36">
        <f>K474+K480+K483+K488+K491+K494+K468+K471+K477</f>
        <v>61933.3</v>
      </c>
      <c r="L467" s="36">
        <f>L474+L480+L483+L488+L491+L494+L468+L471+L477</f>
        <v>61987</v>
      </c>
    </row>
    <row r="468" spans="1:12" s="5" customFormat="1" ht="30">
      <c r="A468" s="111" t="s">
        <v>315</v>
      </c>
      <c r="B468" s="99" t="s">
        <v>223</v>
      </c>
      <c r="C468" s="99" t="s">
        <v>280</v>
      </c>
      <c r="D468" s="99" t="s">
        <v>147</v>
      </c>
      <c r="E468" s="99" t="s">
        <v>316</v>
      </c>
      <c r="F468" s="99"/>
      <c r="G468" s="100"/>
      <c r="H468" s="74">
        <f>H469</f>
        <v>674.9</v>
      </c>
      <c r="I468" s="74">
        <f>I469</f>
        <v>674.9</v>
      </c>
      <c r="J468" s="101">
        <f t="shared" si="28"/>
        <v>0</v>
      </c>
      <c r="K468" s="74">
        <f>K469</f>
        <v>745.4000000000001</v>
      </c>
      <c r="L468" s="74">
        <f>L469</f>
        <v>799.1</v>
      </c>
    </row>
    <row r="469" spans="1:12" s="5" customFormat="1" ht="15">
      <c r="A469" s="111" t="s">
        <v>687</v>
      </c>
      <c r="B469" s="99" t="s">
        <v>223</v>
      </c>
      <c r="C469" s="99" t="s">
        <v>280</v>
      </c>
      <c r="D469" s="99" t="s">
        <v>147</v>
      </c>
      <c r="E469" s="99" t="s">
        <v>316</v>
      </c>
      <c r="F469" s="99" t="s">
        <v>686</v>
      </c>
      <c r="G469" s="100"/>
      <c r="H469" s="74">
        <f>H470</f>
        <v>674.9</v>
      </c>
      <c r="I469" s="74">
        <f>I470</f>
        <v>674.9</v>
      </c>
      <c r="J469" s="101">
        <f t="shared" si="28"/>
        <v>0</v>
      </c>
      <c r="K469" s="74">
        <f>K470</f>
        <v>745.4000000000001</v>
      </c>
      <c r="L469" s="74">
        <f>L470</f>
        <v>799.1</v>
      </c>
    </row>
    <row r="470" spans="1:12" s="5" customFormat="1" ht="15">
      <c r="A470" s="89" t="s">
        <v>109</v>
      </c>
      <c r="B470" s="99" t="s">
        <v>223</v>
      </c>
      <c r="C470" s="99" t="s">
        <v>280</v>
      </c>
      <c r="D470" s="99" t="s">
        <v>147</v>
      </c>
      <c r="E470" s="99" t="s">
        <v>316</v>
      </c>
      <c r="F470" s="99" t="s">
        <v>686</v>
      </c>
      <c r="G470" s="100" t="s">
        <v>110</v>
      </c>
      <c r="H470" s="74">
        <f>'Пр. 9'!I550</f>
        <v>674.9</v>
      </c>
      <c r="I470" s="74">
        <f>'Пр. 9'!J550</f>
        <v>674.9</v>
      </c>
      <c r="J470" s="101">
        <f t="shared" si="28"/>
        <v>0</v>
      </c>
      <c r="K470" s="74">
        <f>'Пр. 9'!L550</f>
        <v>745.4000000000001</v>
      </c>
      <c r="L470" s="74">
        <f>'Пр. 9'!M550</f>
        <v>799.1</v>
      </c>
    </row>
    <row r="471" spans="1:12" s="5" customFormat="1" ht="30">
      <c r="A471" s="111" t="s">
        <v>303</v>
      </c>
      <c r="B471" s="99" t="s">
        <v>223</v>
      </c>
      <c r="C471" s="99" t="s">
        <v>280</v>
      </c>
      <c r="D471" s="99" t="s">
        <v>147</v>
      </c>
      <c r="E471" s="99" t="s">
        <v>477</v>
      </c>
      <c r="F471" s="99"/>
      <c r="G471" s="100"/>
      <c r="H471" s="74">
        <f>H472</f>
        <v>17670.8</v>
      </c>
      <c r="I471" s="74">
        <f>I472</f>
        <v>17670.8</v>
      </c>
      <c r="J471" s="101">
        <f t="shared" si="28"/>
        <v>0</v>
      </c>
      <c r="K471" s="74">
        <f>K472</f>
        <v>17670.8</v>
      </c>
      <c r="L471" s="74">
        <f>L472</f>
        <v>17670.8</v>
      </c>
    </row>
    <row r="472" spans="1:12" s="5" customFormat="1" ht="15">
      <c r="A472" s="111" t="s">
        <v>687</v>
      </c>
      <c r="B472" s="99" t="s">
        <v>223</v>
      </c>
      <c r="C472" s="99" t="s">
        <v>280</v>
      </c>
      <c r="D472" s="99" t="s">
        <v>147</v>
      </c>
      <c r="E472" s="99" t="s">
        <v>477</v>
      </c>
      <c r="F472" s="99" t="s">
        <v>686</v>
      </c>
      <c r="G472" s="100"/>
      <c r="H472" s="74">
        <f>H473</f>
        <v>17670.8</v>
      </c>
      <c r="I472" s="74">
        <f>I473</f>
        <v>17670.8</v>
      </c>
      <c r="J472" s="101">
        <f t="shared" si="28"/>
        <v>0</v>
      </c>
      <c r="K472" s="74">
        <f>K473</f>
        <v>17670.8</v>
      </c>
      <c r="L472" s="74">
        <f>L473</f>
        <v>17670.8</v>
      </c>
    </row>
    <row r="473" spans="1:12" s="5" customFormat="1" ht="15">
      <c r="A473" s="89" t="s">
        <v>109</v>
      </c>
      <c r="B473" s="99" t="s">
        <v>223</v>
      </c>
      <c r="C473" s="99" t="s">
        <v>280</v>
      </c>
      <c r="D473" s="99" t="s">
        <v>147</v>
      </c>
      <c r="E473" s="99" t="s">
        <v>477</v>
      </c>
      <c r="F473" s="99" t="s">
        <v>686</v>
      </c>
      <c r="G473" s="100" t="s">
        <v>110</v>
      </c>
      <c r="H473" s="74">
        <f>'Пр. 9'!I552</f>
        <v>17670.8</v>
      </c>
      <c r="I473" s="74">
        <f>'Пр. 9'!J552</f>
        <v>17670.8</v>
      </c>
      <c r="J473" s="101">
        <f t="shared" si="28"/>
        <v>0</v>
      </c>
      <c r="K473" s="74">
        <f>'Пр. 9'!L552</f>
        <v>17670.8</v>
      </c>
      <c r="L473" s="74">
        <f>'Пр. 9'!M552</f>
        <v>17670.8</v>
      </c>
    </row>
    <row r="474" spans="1:12" s="5" customFormat="1" ht="30">
      <c r="A474" s="111" t="s">
        <v>304</v>
      </c>
      <c r="B474" s="99" t="s">
        <v>223</v>
      </c>
      <c r="C474" s="99" t="s">
        <v>280</v>
      </c>
      <c r="D474" s="99" t="s">
        <v>147</v>
      </c>
      <c r="E474" s="99" t="s">
        <v>475</v>
      </c>
      <c r="F474" s="99"/>
      <c r="G474" s="100"/>
      <c r="H474" s="74">
        <f>H475</f>
        <v>1708.2</v>
      </c>
      <c r="I474" s="74">
        <f>I475</f>
        <v>1708.2</v>
      </c>
      <c r="J474" s="101">
        <f t="shared" si="28"/>
        <v>0</v>
      </c>
      <c r="K474" s="74">
        <f>K475</f>
        <v>1708.2</v>
      </c>
      <c r="L474" s="74">
        <f>L475</f>
        <v>1708.2</v>
      </c>
    </row>
    <row r="475" spans="1:12" s="5" customFormat="1" ht="30">
      <c r="A475" s="111" t="s">
        <v>683</v>
      </c>
      <c r="B475" s="99" t="s">
        <v>223</v>
      </c>
      <c r="C475" s="99" t="s">
        <v>280</v>
      </c>
      <c r="D475" s="99" t="s">
        <v>147</v>
      </c>
      <c r="E475" s="99" t="s">
        <v>475</v>
      </c>
      <c r="F475" s="99" t="s">
        <v>682</v>
      </c>
      <c r="G475" s="100"/>
      <c r="H475" s="74">
        <f>H476</f>
        <v>1708.2</v>
      </c>
      <c r="I475" s="74">
        <f>I476</f>
        <v>1708.2</v>
      </c>
      <c r="J475" s="101">
        <f t="shared" si="28"/>
        <v>0</v>
      </c>
      <c r="K475" s="74">
        <f>K476</f>
        <v>1708.2</v>
      </c>
      <c r="L475" s="74">
        <f>L476</f>
        <v>1708.2</v>
      </c>
    </row>
    <row r="476" spans="1:12" s="5" customFormat="1" ht="15">
      <c r="A476" s="88" t="s">
        <v>107</v>
      </c>
      <c r="B476" s="99" t="s">
        <v>223</v>
      </c>
      <c r="C476" s="99" t="s">
        <v>280</v>
      </c>
      <c r="D476" s="99" t="s">
        <v>147</v>
      </c>
      <c r="E476" s="99" t="s">
        <v>475</v>
      </c>
      <c r="F476" s="99" t="s">
        <v>682</v>
      </c>
      <c r="G476" s="100" t="s">
        <v>108</v>
      </c>
      <c r="H476" s="74">
        <f>'Пр. 9'!I516</f>
        <v>1708.2</v>
      </c>
      <c r="I476" s="74">
        <f>'Пр. 9'!J516</f>
        <v>1708.2</v>
      </c>
      <c r="J476" s="101">
        <f t="shared" si="28"/>
        <v>0</v>
      </c>
      <c r="K476" s="74">
        <f>'Пр. 9'!L516</f>
        <v>1708.2</v>
      </c>
      <c r="L476" s="74">
        <f>'Пр. 9'!M516</f>
        <v>1708.2</v>
      </c>
    </row>
    <row r="477" spans="1:12" s="5" customFormat="1" ht="45">
      <c r="A477" s="111" t="s">
        <v>317</v>
      </c>
      <c r="B477" s="99" t="s">
        <v>223</v>
      </c>
      <c r="C477" s="99" t="s">
        <v>280</v>
      </c>
      <c r="D477" s="99" t="s">
        <v>147</v>
      </c>
      <c r="E477" s="99" t="s">
        <v>318</v>
      </c>
      <c r="F477" s="99"/>
      <c r="G477" s="100"/>
      <c r="H477" s="74">
        <f>H478</f>
        <v>35273.4</v>
      </c>
      <c r="I477" s="74">
        <f>I478</f>
        <v>35273.4</v>
      </c>
      <c r="J477" s="101">
        <f t="shared" si="28"/>
        <v>0</v>
      </c>
      <c r="K477" s="74">
        <f>K478</f>
        <v>35273.4</v>
      </c>
      <c r="L477" s="74">
        <f>L478</f>
        <v>35273.4</v>
      </c>
    </row>
    <row r="478" spans="1:12" s="5" customFormat="1" ht="15">
      <c r="A478" s="111" t="s">
        <v>687</v>
      </c>
      <c r="B478" s="99" t="s">
        <v>223</v>
      </c>
      <c r="C478" s="99" t="s">
        <v>280</v>
      </c>
      <c r="D478" s="99" t="s">
        <v>147</v>
      </c>
      <c r="E478" s="99" t="s">
        <v>318</v>
      </c>
      <c r="F478" s="99" t="s">
        <v>686</v>
      </c>
      <c r="G478" s="100"/>
      <c r="H478" s="74">
        <f>H479</f>
        <v>35273.4</v>
      </c>
      <c r="I478" s="74">
        <f>I479</f>
        <v>35273.4</v>
      </c>
      <c r="J478" s="101">
        <f t="shared" si="28"/>
        <v>0</v>
      </c>
      <c r="K478" s="74">
        <f>K479</f>
        <v>35273.4</v>
      </c>
      <c r="L478" s="74">
        <f>L479</f>
        <v>35273.4</v>
      </c>
    </row>
    <row r="479" spans="1:12" s="5" customFormat="1" ht="15">
      <c r="A479" s="88" t="s">
        <v>107</v>
      </c>
      <c r="B479" s="99" t="s">
        <v>223</v>
      </c>
      <c r="C479" s="99" t="s">
        <v>280</v>
      </c>
      <c r="D479" s="99" t="s">
        <v>147</v>
      </c>
      <c r="E479" s="99" t="s">
        <v>318</v>
      </c>
      <c r="F479" s="99" t="s">
        <v>686</v>
      </c>
      <c r="G479" s="100" t="s">
        <v>110</v>
      </c>
      <c r="H479" s="74">
        <f>'Пр. 9'!I554</f>
        <v>35273.4</v>
      </c>
      <c r="I479" s="74">
        <f>'Пр. 9'!J554</f>
        <v>35273.4</v>
      </c>
      <c r="J479" s="101">
        <f t="shared" si="28"/>
        <v>0</v>
      </c>
      <c r="K479" s="74">
        <f>'Пр. 9'!L554</f>
        <v>35273.4</v>
      </c>
      <c r="L479" s="74">
        <f>'Пр. 9'!M554</f>
        <v>35273.4</v>
      </c>
    </row>
    <row r="480" spans="1:12" s="5" customFormat="1" ht="95.25" customHeight="1">
      <c r="A480" s="111" t="s">
        <v>319</v>
      </c>
      <c r="B480" s="99" t="s">
        <v>223</v>
      </c>
      <c r="C480" s="99" t="s">
        <v>280</v>
      </c>
      <c r="D480" s="99" t="s">
        <v>147</v>
      </c>
      <c r="E480" s="99" t="s">
        <v>320</v>
      </c>
      <c r="F480" s="99"/>
      <c r="G480" s="100"/>
      <c r="H480" s="74">
        <f>H481</f>
        <v>1038.3</v>
      </c>
      <c r="I480" s="74">
        <f>I481</f>
        <v>1038.3</v>
      </c>
      <c r="J480" s="101">
        <f t="shared" si="28"/>
        <v>0</v>
      </c>
      <c r="K480" s="74">
        <f>K481</f>
        <v>998.4</v>
      </c>
      <c r="L480" s="74">
        <f>L481</f>
        <v>998.4</v>
      </c>
    </row>
    <row r="481" spans="1:12" s="5" customFormat="1" ht="15">
      <c r="A481" s="111" t="s">
        <v>687</v>
      </c>
      <c r="B481" s="99" t="s">
        <v>223</v>
      </c>
      <c r="C481" s="99" t="s">
        <v>280</v>
      </c>
      <c r="D481" s="99" t="s">
        <v>147</v>
      </c>
      <c r="E481" s="99" t="s">
        <v>320</v>
      </c>
      <c r="F481" s="99" t="s">
        <v>686</v>
      </c>
      <c r="G481" s="100"/>
      <c r="H481" s="74">
        <f>H482</f>
        <v>1038.3</v>
      </c>
      <c r="I481" s="74">
        <f>I482</f>
        <v>1038.3</v>
      </c>
      <c r="J481" s="101">
        <f t="shared" si="28"/>
        <v>0</v>
      </c>
      <c r="K481" s="74">
        <f>K482</f>
        <v>998.4</v>
      </c>
      <c r="L481" s="74">
        <f>L482</f>
        <v>998.4</v>
      </c>
    </row>
    <row r="482" spans="1:12" s="5" customFormat="1" ht="15">
      <c r="A482" s="88" t="s">
        <v>107</v>
      </c>
      <c r="B482" s="99" t="s">
        <v>223</v>
      </c>
      <c r="C482" s="99" t="s">
        <v>280</v>
      </c>
      <c r="D482" s="99" t="s">
        <v>147</v>
      </c>
      <c r="E482" s="99" t="s">
        <v>320</v>
      </c>
      <c r="F482" s="99" t="s">
        <v>686</v>
      </c>
      <c r="G482" s="100" t="s">
        <v>108</v>
      </c>
      <c r="H482" s="74">
        <f>'Пр. 9'!I518</f>
        <v>1038.3</v>
      </c>
      <c r="I482" s="74">
        <f>'Пр. 9'!J518</f>
        <v>1038.3</v>
      </c>
      <c r="J482" s="101">
        <f t="shared" si="28"/>
        <v>0</v>
      </c>
      <c r="K482" s="74">
        <f>'Пр. 9'!L518</f>
        <v>998.4</v>
      </c>
      <c r="L482" s="74">
        <f>'Пр. 9'!M518</f>
        <v>998.4</v>
      </c>
    </row>
    <row r="483" spans="1:12" s="5" customFormat="1" ht="105">
      <c r="A483" s="111" t="s">
        <v>476</v>
      </c>
      <c r="B483" s="99" t="s">
        <v>223</v>
      </c>
      <c r="C483" s="99" t="s">
        <v>280</v>
      </c>
      <c r="D483" s="99" t="s">
        <v>147</v>
      </c>
      <c r="E483" s="99" t="s">
        <v>321</v>
      </c>
      <c r="F483" s="99"/>
      <c r="G483" s="100"/>
      <c r="H483" s="74">
        <f>H484+H486</f>
        <v>160</v>
      </c>
      <c r="I483" s="74">
        <f>I484+I486</f>
        <v>160</v>
      </c>
      <c r="J483" s="101">
        <f t="shared" si="28"/>
        <v>0</v>
      </c>
      <c r="K483" s="74">
        <f>K484+K486</f>
        <v>160</v>
      </c>
      <c r="L483" s="74">
        <f>L484+L486</f>
        <v>160</v>
      </c>
    </row>
    <row r="484" spans="1:12" s="5" customFormat="1" ht="30">
      <c r="A484" s="111" t="s">
        <v>683</v>
      </c>
      <c r="B484" s="99" t="s">
        <v>223</v>
      </c>
      <c r="C484" s="99" t="s">
        <v>280</v>
      </c>
      <c r="D484" s="99" t="s">
        <v>147</v>
      </c>
      <c r="E484" s="99" t="s">
        <v>321</v>
      </c>
      <c r="F484" s="99" t="s">
        <v>682</v>
      </c>
      <c r="G484" s="100"/>
      <c r="H484" s="74">
        <f>H485</f>
        <v>160</v>
      </c>
      <c r="I484" s="74">
        <f>I485</f>
        <v>160</v>
      </c>
      <c r="J484" s="101">
        <f t="shared" si="28"/>
        <v>0</v>
      </c>
      <c r="K484" s="74">
        <f>K485</f>
        <v>160</v>
      </c>
      <c r="L484" s="74">
        <f>L485</f>
        <v>160</v>
      </c>
    </row>
    <row r="485" spans="1:12" s="5" customFormat="1" ht="15">
      <c r="A485" s="88" t="s">
        <v>107</v>
      </c>
      <c r="B485" s="99" t="s">
        <v>223</v>
      </c>
      <c r="C485" s="99" t="s">
        <v>280</v>
      </c>
      <c r="D485" s="99" t="s">
        <v>147</v>
      </c>
      <c r="E485" s="99" t="s">
        <v>321</v>
      </c>
      <c r="F485" s="99" t="s">
        <v>682</v>
      </c>
      <c r="G485" s="100" t="s">
        <v>108</v>
      </c>
      <c r="H485" s="74">
        <f>'Пр. 9'!I520</f>
        <v>160</v>
      </c>
      <c r="I485" s="74">
        <f>'Пр. 9'!J520</f>
        <v>160</v>
      </c>
      <c r="J485" s="101">
        <f t="shared" si="28"/>
        <v>0</v>
      </c>
      <c r="K485" s="74">
        <f>'Пр. 9'!L520</f>
        <v>160</v>
      </c>
      <c r="L485" s="74">
        <f>'Пр. 9'!M520</f>
        <v>160</v>
      </c>
    </row>
    <row r="486" spans="1:12" s="5" customFormat="1" ht="15" hidden="1">
      <c r="A486" s="111" t="s">
        <v>687</v>
      </c>
      <c r="B486" s="99" t="s">
        <v>223</v>
      </c>
      <c r="C486" s="99" t="s">
        <v>280</v>
      </c>
      <c r="D486" s="99" t="s">
        <v>147</v>
      </c>
      <c r="E486" s="99" t="s">
        <v>321</v>
      </c>
      <c r="F486" s="99" t="s">
        <v>686</v>
      </c>
      <c r="G486" s="100"/>
      <c r="H486" s="74">
        <f>H487</f>
        <v>0</v>
      </c>
      <c r="I486" s="74">
        <f>I487</f>
        <v>0</v>
      </c>
      <c r="J486" s="101">
        <f t="shared" si="28"/>
        <v>0</v>
      </c>
      <c r="K486" s="74">
        <f>K487</f>
        <v>0</v>
      </c>
      <c r="L486" s="74">
        <f>L487</f>
        <v>0</v>
      </c>
    </row>
    <row r="487" spans="1:12" s="5" customFormat="1" ht="15" hidden="1">
      <c r="A487" s="88" t="s">
        <v>107</v>
      </c>
      <c r="B487" s="99" t="s">
        <v>223</v>
      </c>
      <c r="C487" s="99" t="s">
        <v>280</v>
      </c>
      <c r="D487" s="99" t="s">
        <v>147</v>
      </c>
      <c r="E487" s="99" t="s">
        <v>321</v>
      </c>
      <c r="F487" s="99" t="s">
        <v>686</v>
      </c>
      <c r="G487" s="100" t="s">
        <v>108</v>
      </c>
      <c r="H487" s="74">
        <f>'Пр. 9'!I521</f>
        <v>0</v>
      </c>
      <c r="I487" s="74">
        <f>'Пр. 9'!J521</f>
        <v>0</v>
      </c>
      <c r="J487" s="101">
        <f t="shared" si="28"/>
        <v>0</v>
      </c>
      <c r="K487" s="74">
        <f>'Пр. 9'!L521</f>
        <v>0</v>
      </c>
      <c r="L487" s="74">
        <f>'Пр. 9'!M521</f>
        <v>0</v>
      </c>
    </row>
    <row r="488" spans="1:12" s="5" customFormat="1" ht="60" hidden="1">
      <c r="A488" s="111" t="s">
        <v>322</v>
      </c>
      <c r="B488" s="99" t="s">
        <v>223</v>
      </c>
      <c r="C488" s="99" t="s">
        <v>280</v>
      </c>
      <c r="D488" s="99" t="s">
        <v>147</v>
      </c>
      <c r="E488" s="99" t="s">
        <v>323</v>
      </c>
      <c r="F488" s="99"/>
      <c r="G488" s="100"/>
      <c r="H488" s="74">
        <f>H489</f>
        <v>0</v>
      </c>
      <c r="I488" s="74">
        <f>I489</f>
        <v>0</v>
      </c>
      <c r="J488" s="101">
        <f t="shared" si="28"/>
        <v>0</v>
      </c>
      <c r="K488" s="74">
        <f>K489</f>
        <v>0</v>
      </c>
      <c r="L488" s="74">
        <f>L489</f>
        <v>0</v>
      </c>
    </row>
    <row r="489" spans="1:12" s="5" customFormat="1" ht="15" hidden="1">
      <c r="A489" s="111" t="s">
        <v>687</v>
      </c>
      <c r="B489" s="99" t="s">
        <v>223</v>
      </c>
      <c r="C489" s="99" t="s">
        <v>280</v>
      </c>
      <c r="D489" s="99" t="s">
        <v>147</v>
      </c>
      <c r="E489" s="99" t="s">
        <v>323</v>
      </c>
      <c r="F489" s="99" t="s">
        <v>686</v>
      </c>
      <c r="G489" s="100"/>
      <c r="H489" s="74">
        <f>H490</f>
        <v>0</v>
      </c>
      <c r="I489" s="74">
        <f>I490</f>
        <v>0</v>
      </c>
      <c r="J489" s="101">
        <f t="shared" si="28"/>
        <v>0</v>
      </c>
      <c r="K489" s="74">
        <f>K490</f>
        <v>0</v>
      </c>
      <c r="L489" s="74">
        <f>L490</f>
        <v>0</v>
      </c>
    </row>
    <row r="490" spans="1:12" s="5" customFormat="1" ht="15" hidden="1">
      <c r="A490" s="88" t="s">
        <v>107</v>
      </c>
      <c r="B490" s="99" t="s">
        <v>223</v>
      </c>
      <c r="C490" s="99" t="s">
        <v>280</v>
      </c>
      <c r="D490" s="99" t="s">
        <v>147</v>
      </c>
      <c r="E490" s="99" t="s">
        <v>323</v>
      </c>
      <c r="F490" s="99" t="s">
        <v>686</v>
      </c>
      <c r="G490" s="100" t="s">
        <v>108</v>
      </c>
      <c r="H490" s="74">
        <f>'Пр. 9'!I523</f>
        <v>0</v>
      </c>
      <c r="I490" s="74">
        <f>'Пр. 9'!J523</f>
        <v>0</v>
      </c>
      <c r="J490" s="101">
        <f aca="true" t="shared" si="29" ref="J490:J553">I490-H490</f>
        <v>0</v>
      </c>
      <c r="K490" s="74">
        <f>'Пр. 9'!L523</f>
        <v>0</v>
      </c>
      <c r="L490" s="74">
        <f>'Пр. 9'!M523</f>
        <v>0</v>
      </c>
    </row>
    <row r="491" spans="1:12" s="5" customFormat="1" ht="165">
      <c r="A491" s="111" t="s">
        <v>482</v>
      </c>
      <c r="B491" s="99" t="s">
        <v>223</v>
      </c>
      <c r="C491" s="99" t="s">
        <v>280</v>
      </c>
      <c r="D491" s="99" t="s">
        <v>147</v>
      </c>
      <c r="E491" s="99" t="s">
        <v>324</v>
      </c>
      <c r="F491" s="99"/>
      <c r="G491" s="100"/>
      <c r="H491" s="74">
        <f>H492</f>
        <v>5285.6</v>
      </c>
      <c r="I491" s="74">
        <f>I492</f>
        <v>5285.6</v>
      </c>
      <c r="J491" s="101">
        <f t="shared" si="29"/>
        <v>0</v>
      </c>
      <c r="K491" s="74">
        <f>K492</f>
        <v>5285.6</v>
      </c>
      <c r="L491" s="74">
        <f>L492</f>
        <v>5285.6</v>
      </c>
    </row>
    <row r="492" spans="1:12" s="5" customFormat="1" ht="15">
      <c r="A492" s="111" t="s">
        <v>687</v>
      </c>
      <c r="B492" s="99" t="s">
        <v>223</v>
      </c>
      <c r="C492" s="99" t="s">
        <v>280</v>
      </c>
      <c r="D492" s="99" t="s">
        <v>147</v>
      </c>
      <c r="E492" s="99" t="s">
        <v>324</v>
      </c>
      <c r="F492" s="99" t="s">
        <v>686</v>
      </c>
      <c r="G492" s="100"/>
      <c r="H492" s="74">
        <f>H493</f>
        <v>5285.6</v>
      </c>
      <c r="I492" s="74">
        <f>I493</f>
        <v>5285.6</v>
      </c>
      <c r="J492" s="101">
        <f t="shared" si="29"/>
        <v>0</v>
      </c>
      <c r="K492" s="74">
        <f>K493</f>
        <v>5285.6</v>
      </c>
      <c r="L492" s="74">
        <f>L493</f>
        <v>5285.6</v>
      </c>
    </row>
    <row r="493" spans="1:12" s="5" customFormat="1" ht="15">
      <c r="A493" s="88" t="s">
        <v>107</v>
      </c>
      <c r="B493" s="99" t="s">
        <v>223</v>
      </c>
      <c r="C493" s="99" t="s">
        <v>280</v>
      </c>
      <c r="D493" s="99" t="s">
        <v>147</v>
      </c>
      <c r="E493" s="99" t="s">
        <v>324</v>
      </c>
      <c r="F493" s="99" t="s">
        <v>686</v>
      </c>
      <c r="G493" s="100" t="s">
        <v>108</v>
      </c>
      <c r="H493" s="74">
        <f>'Пр. 9'!I525</f>
        <v>5285.6</v>
      </c>
      <c r="I493" s="74">
        <f>'Пр. 9'!J525</f>
        <v>5285.6</v>
      </c>
      <c r="J493" s="101">
        <f t="shared" si="29"/>
        <v>0</v>
      </c>
      <c r="K493" s="74">
        <f>'Пр. 9'!L525</f>
        <v>5285.6</v>
      </c>
      <c r="L493" s="74">
        <f>'Пр. 9'!M525</f>
        <v>5285.6</v>
      </c>
    </row>
    <row r="494" spans="1:12" s="5" customFormat="1" ht="60">
      <c r="A494" s="111" t="s">
        <v>325</v>
      </c>
      <c r="B494" s="99" t="s">
        <v>223</v>
      </c>
      <c r="C494" s="99" t="s">
        <v>280</v>
      </c>
      <c r="D494" s="99" t="s">
        <v>147</v>
      </c>
      <c r="E494" s="99" t="s">
        <v>326</v>
      </c>
      <c r="F494" s="99"/>
      <c r="G494" s="100"/>
      <c r="H494" s="74">
        <f>H495</f>
        <v>91.5</v>
      </c>
      <c r="I494" s="74">
        <f>I495</f>
        <v>91.5</v>
      </c>
      <c r="J494" s="101">
        <f t="shared" si="29"/>
        <v>0</v>
      </c>
      <c r="K494" s="74">
        <f>K495</f>
        <v>91.5</v>
      </c>
      <c r="L494" s="74">
        <f>L495</f>
        <v>91.5</v>
      </c>
    </row>
    <row r="495" spans="1:12" s="5" customFormat="1" ht="30">
      <c r="A495" s="111" t="s">
        <v>683</v>
      </c>
      <c r="B495" s="99" t="s">
        <v>223</v>
      </c>
      <c r="C495" s="99" t="s">
        <v>280</v>
      </c>
      <c r="D495" s="99" t="s">
        <v>147</v>
      </c>
      <c r="E495" s="99" t="s">
        <v>326</v>
      </c>
      <c r="F495" s="99" t="s">
        <v>682</v>
      </c>
      <c r="G495" s="100"/>
      <c r="H495" s="74">
        <f>H496</f>
        <v>91.5</v>
      </c>
      <c r="I495" s="74">
        <f>I496</f>
        <v>91.5</v>
      </c>
      <c r="J495" s="101">
        <f t="shared" si="29"/>
        <v>0</v>
      </c>
      <c r="K495" s="74">
        <f>K496</f>
        <v>91.5</v>
      </c>
      <c r="L495" s="74">
        <f>L496</f>
        <v>91.5</v>
      </c>
    </row>
    <row r="496" spans="1:12" s="5" customFormat="1" ht="15">
      <c r="A496" s="88" t="s">
        <v>107</v>
      </c>
      <c r="B496" s="99" t="s">
        <v>223</v>
      </c>
      <c r="C496" s="99" t="s">
        <v>280</v>
      </c>
      <c r="D496" s="99" t="s">
        <v>147</v>
      </c>
      <c r="E496" s="99" t="s">
        <v>326</v>
      </c>
      <c r="F496" s="99" t="s">
        <v>682</v>
      </c>
      <c r="G496" s="100" t="s">
        <v>108</v>
      </c>
      <c r="H496" s="74">
        <f>'Пр. 9'!I527</f>
        <v>91.5</v>
      </c>
      <c r="I496" s="74">
        <f>'Пр. 9'!J527</f>
        <v>91.5</v>
      </c>
      <c r="J496" s="101">
        <f t="shared" si="29"/>
        <v>0</v>
      </c>
      <c r="K496" s="74">
        <f>'Пр. 9'!L527</f>
        <v>91.5</v>
      </c>
      <c r="L496" s="74">
        <f>'Пр. 9'!M527</f>
        <v>91.5</v>
      </c>
    </row>
    <row r="497" spans="1:12" s="5" customFormat="1" ht="28.5">
      <c r="A497" s="110" t="s">
        <v>763</v>
      </c>
      <c r="B497" s="95" t="s">
        <v>284</v>
      </c>
      <c r="C497" s="94">
        <v>0</v>
      </c>
      <c r="D497" s="95" t="s">
        <v>149</v>
      </c>
      <c r="E497" s="95" t="s">
        <v>150</v>
      </c>
      <c r="F497" s="67"/>
      <c r="G497" s="95"/>
      <c r="H497" s="36">
        <f>H498+H525</f>
        <v>617.8</v>
      </c>
      <c r="I497" s="36">
        <f>I498+I525</f>
        <v>617.8</v>
      </c>
      <c r="J497" s="96">
        <f t="shared" si="29"/>
        <v>0</v>
      </c>
      <c r="K497" s="36">
        <f>K498+K525</f>
        <v>378</v>
      </c>
      <c r="L497" s="36">
        <f>L498+L525</f>
        <v>378</v>
      </c>
    </row>
    <row r="498" spans="1:12" s="5" customFormat="1" ht="28.5">
      <c r="A498" s="110" t="s">
        <v>765</v>
      </c>
      <c r="B498" s="95" t="s">
        <v>284</v>
      </c>
      <c r="C498" s="94">
        <v>1</v>
      </c>
      <c r="D498" s="95" t="s">
        <v>149</v>
      </c>
      <c r="E498" s="95" t="s">
        <v>150</v>
      </c>
      <c r="F498" s="67"/>
      <c r="G498" s="95"/>
      <c r="H498" s="36">
        <f>H499+H503+H510+H514+H518</f>
        <v>581</v>
      </c>
      <c r="I498" s="36">
        <f>I499+I503+I510+I514+I518</f>
        <v>581</v>
      </c>
      <c r="J498" s="96">
        <f t="shared" si="29"/>
        <v>0</v>
      </c>
      <c r="K498" s="36">
        <f>K499+K503+K510+K514+K518</f>
        <v>341</v>
      </c>
      <c r="L498" s="36">
        <f>L499+L503+L510+L514+L518</f>
        <v>341</v>
      </c>
    </row>
    <row r="499" spans="1:12" s="5" customFormat="1" ht="28.5">
      <c r="A499" s="110" t="s">
        <v>764</v>
      </c>
      <c r="B499" s="95" t="s">
        <v>284</v>
      </c>
      <c r="C499" s="94">
        <v>1</v>
      </c>
      <c r="D499" s="95" t="s">
        <v>147</v>
      </c>
      <c r="E499" s="95" t="s">
        <v>150</v>
      </c>
      <c r="F499" s="67"/>
      <c r="G499" s="95"/>
      <c r="H499" s="36">
        <f aca="true" t="shared" si="30" ref="H499:L501">H500</f>
        <v>72.4</v>
      </c>
      <c r="I499" s="36">
        <f t="shared" si="30"/>
        <v>72.4</v>
      </c>
      <c r="J499" s="96">
        <f t="shared" si="29"/>
        <v>0</v>
      </c>
      <c r="K499" s="36">
        <f t="shared" si="30"/>
        <v>74</v>
      </c>
      <c r="L499" s="36">
        <f t="shared" si="30"/>
        <v>74</v>
      </c>
    </row>
    <row r="500" spans="1:12" s="5" customFormat="1" ht="45">
      <c r="A500" s="22" t="s">
        <v>828</v>
      </c>
      <c r="B500" s="100" t="s">
        <v>284</v>
      </c>
      <c r="C500" s="117">
        <v>1</v>
      </c>
      <c r="D500" s="100" t="s">
        <v>147</v>
      </c>
      <c r="E500" s="100" t="s">
        <v>506</v>
      </c>
      <c r="F500" s="99"/>
      <c r="G500" s="100"/>
      <c r="H500" s="74">
        <f t="shared" si="30"/>
        <v>72.4</v>
      </c>
      <c r="I500" s="74">
        <f t="shared" si="30"/>
        <v>72.4</v>
      </c>
      <c r="J500" s="101">
        <f t="shared" si="29"/>
        <v>0</v>
      </c>
      <c r="K500" s="74">
        <f t="shared" si="30"/>
        <v>74</v>
      </c>
      <c r="L500" s="74">
        <f t="shared" si="30"/>
        <v>74</v>
      </c>
    </row>
    <row r="501" spans="1:12" s="5" customFormat="1" ht="15">
      <c r="A501" s="111" t="s">
        <v>692</v>
      </c>
      <c r="B501" s="100" t="s">
        <v>284</v>
      </c>
      <c r="C501" s="117">
        <v>1</v>
      </c>
      <c r="D501" s="100" t="s">
        <v>147</v>
      </c>
      <c r="E501" s="100" t="s">
        <v>506</v>
      </c>
      <c r="F501" s="99" t="s">
        <v>691</v>
      </c>
      <c r="G501" s="100"/>
      <c r="H501" s="74">
        <f t="shared" si="30"/>
        <v>72.4</v>
      </c>
      <c r="I501" s="74">
        <f t="shared" si="30"/>
        <v>72.4</v>
      </c>
      <c r="J501" s="101">
        <f t="shared" si="29"/>
        <v>0</v>
      </c>
      <c r="K501" s="74">
        <f t="shared" si="30"/>
        <v>74</v>
      </c>
      <c r="L501" s="74">
        <f t="shared" si="30"/>
        <v>74</v>
      </c>
    </row>
    <row r="502" spans="1:12" s="5" customFormat="1" ht="15">
      <c r="A502" s="102" t="s">
        <v>93</v>
      </c>
      <c r="B502" s="100" t="s">
        <v>284</v>
      </c>
      <c r="C502" s="117">
        <v>1</v>
      </c>
      <c r="D502" s="100" t="s">
        <v>147</v>
      </c>
      <c r="E502" s="100" t="s">
        <v>506</v>
      </c>
      <c r="F502" s="99" t="s">
        <v>691</v>
      </c>
      <c r="G502" s="100" t="s">
        <v>94</v>
      </c>
      <c r="H502" s="74">
        <f>'Пр. 9'!I420</f>
        <v>72.4</v>
      </c>
      <c r="I502" s="74">
        <f>'Пр. 9'!J420</f>
        <v>72.4</v>
      </c>
      <c r="J502" s="101">
        <f t="shared" si="29"/>
        <v>0</v>
      </c>
      <c r="K502" s="74">
        <f>'Пр. 9'!L420</f>
        <v>74</v>
      </c>
      <c r="L502" s="74">
        <f>'Пр. 9'!M420</f>
        <v>74</v>
      </c>
    </row>
    <row r="503" spans="1:12" s="5" customFormat="1" ht="28.5">
      <c r="A503" s="116" t="s">
        <v>819</v>
      </c>
      <c r="B503" s="95" t="s">
        <v>284</v>
      </c>
      <c r="C503" s="94">
        <v>1</v>
      </c>
      <c r="D503" s="95" t="s">
        <v>160</v>
      </c>
      <c r="E503" s="95" t="s">
        <v>150</v>
      </c>
      <c r="F503" s="67"/>
      <c r="G503" s="95"/>
      <c r="H503" s="36">
        <f>H504+H507</f>
        <v>323.6</v>
      </c>
      <c r="I503" s="36">
        <f>I504+I507</f>
        <v>323.6</v>
      </c>
      <c r="J503" s="96">
        <f t="shared" si="29"/>
        <v>0</v>
      </c>
      <c r="K503" s="36">
        <f>K504+K507</f>
        <v>76</v>
      </c>
      <c r="L503" s="36">
        <f>L504+L507</f>
        <v>76</v>
      </c>
    </row>
    <row r="504" spans="1:12" s="5" customFormat="1" ht="45">
      <c r="A504" s="102" t="s">
        <v>800</v>
      </c>
      <c r="B504" s="100" t="s">
        <v>284</v>
      </c>
      <c r="C504" s="117">
        <v>1</v>
      </c>
      <c r="D504" s="100" t="s">
        <v>160</v>
      </c>
      <c r="E504" s="100" t="s">
        <v>507</v>
      </c>
      <c r="F504" s="99"/>
      <c r="G504" s="100"/>
      <c r="H504" s="74">
        <f>H505</f>
        <v>323.6</v>
      </c>
      <c r="I504" s="74">
        <f>I505</f>
        <v>323.6</v>
      </c>
      <c r="J504" s="101">
        <f t="shared" si="29"/>
        <v>0</v>
      </c>
      <c r="K504" s="74">
        <f>K505</f>
        <v>76</v>
      </c>
      <c r="L504" s="74">
        <f>L505</f>
        <v>76</v>
      </c>
    </row>
    <row r="505" spans="1:12" s="5" customFormat="1" ht="15">
      <c r="A505" s="111" t="s">
        <v>692</v>
      </c>
      <c r="B505" s="100" t="s">
        <v>284</v>
      </c>
      <c r="C505" s="117">
        <v>1</v>
      </c>
      <c r="D505" s="100" t="s">
        <v>160</v>
      </c>
      <c r="E505" s="100" t="s">
        <v>507</v>
      </c>
      <c r="F505" s="99" t="s">
        <v>691</v>
      </c>
      <c r="G505" s="100"/>
      <c r="H505" s="74">
        <f>H506</f>
        <v>323.6</v>
      </c>
      <c r="I505" s="74">
        <f>I506</f>
        <v>323.6</v>
      </c>
      <c r="J505" s="101">
        <f t="shared" si="29"/>
        <v>0</v>
      </c>
      <c r="K505" s="74">
        <f>K506</f>
        <v>76</v>
      </c>
      <c r="L505" s="74">
        <f>L506</f>
        <v>76</v>
      </c>
    </row>
    <row r="506" spans="1:12" s="5" customFormat="1" ht="15">
      <c r="A506" s="22" t="s">
        <v>93</v>
      </c>
      <c r="B506" s="100" t="s">
        <v>284</v>
      </c>
      <c r="C506" s="117">
        <v>1</v>
      </c>
      <c r="D506" s="100" t="s">
        <v>160</v>
      </c>
      <c r="E506" s="100" t="s">
        <v>507</v>
      </c>
      <c r="F506" s="99" t="s">
        <v>691</v>
      </c>
      <c r="G506" s="100" t="s">
        <v>94</v>
      </c>
      <c r="H506" s="74">
        <f>'Пр. 9'!I423</f>
        <v>323.6</v>
      </c>
      <c r="I506" s="74">
        <f>'Пр. 9'!J423</f>
        <v>323.6</v>
      </c>
      <c r="J506" s="101">
        <f t="shared" si="29"/>
        <v>0</v>
      </c>
      <c r="K506" s="74">
        <f>'Пр. 9'!L423</f>
        <v>76</v>
      </c>
      <c r="L506" s="74">
        <f>'Пр. 9'!M423</f>
        <v>76</v>
      </c>
    </row>
    <row r="507" spans="1:12" s="5" customFormat="1" ht="60" hidden="1">
      <c r="A507" s="111" t="s">
        <v>487</v>
      </c>
      <c r="B507" s="100" t="s">
        <v>284</v>
      </c>
      <c r="C507" s="117">
        <v>1</v>
      </c>
      <c r="D507" s="100" t="s">
        <v>160</v>
      </c>
      <c r="E507" s="99" t="s">
        <v>724</v>
      </c>
      <c r="F507" s="99"/>
      <c r="G507" s="100"/>
      <c r="H507" s="74">
        <f>H508</f>
        <v>0</v>
      </c>
      <c r="I507" s="74">
        <f>I508</f>
        <v>0</v>
      </c>
      <c r="J507" s="96">
        <f t="shared" si="29"/>
        <v>0</v>
      </c>
      <c r="K507" s="74">
        <f>K508</f>
        <v>0</v>
      </c>
      <c r="L507" s="74">
        <f>L508</f>
        <v>0</v>
      </c>
    </row>
    <row r="508" spans="1:12" s="5" customFormat="1" ht="15" hidden="1">
      <c r="A508" s="111" t="s">
        <v>692</v>
      </c>
      <c r="B508" s="100" t="s">
        <v>284</v>
      </c>
      <c r="C508" s="117">
        <v>1</v>
      </c>
      <c r="D508" s="100" t="s">
        <v>160</v>
      </c>
      <c r="E508" s="99" t="s">
        <v>724</v>
      </c>
      <c r="F508" s="99" t="s">
        <v>691</v>
      </c>
      <c r="G508" s="100"/>
      <c r="H508" s="74">
        <f>H509</f>
        <v>0</v>
      </c>
      <c r="I508" s="74">
        <f>I509</f>
        <v>0</v>
      </c>
      <c r="J508" s="96">
        <f t="shared" si="29"/>
        <v>0</v>
      </c>
      <c r="K508" s="74">
        <f>K509</f>
        <v>0</v>
      </c>
      <c r="L508" s="74">
        <f>L509</f>
        <v>0</v>
      </c>
    </row>
    <row r="509" spans="1:12" s="5" customFormat="1" ht="15" hidden="1">
      <c r="A509" s="22" t="s">
        <v>93</v>
      </c>
      <c r="B509" s="100" t="s">
        <v>284</v>
      </c>
      <c r="C509" s="117">
        <v>1</v>
      </c>
      <c r="D509" s="100" t="s">
        <v>160</v>
      </c>
      <c r="E509" s="99" t="s">
        <v>724</v>
      </c>
      <c r="F509" s="99" t="s">
        <v>691</v>
      </c>
      <c r="G509" s="100" t="s">
        <v>94</v>
      </c>
      <c r="H509" s="74">
        <f>'Пр. 9'!I425</f>
        <v>0</v>
      </c>
      <c r="I509" s="74">
        <f>'Пр. 9'!J425</f>
        <v>0</v>
      </c>
      <c r="J509" s="96">
        <f t="shared" si="29"/>
        <v>0</v>
      </c>
      <c r="K509" s="74">
        <f>'Пр. 9'!L425</f>
        <v>0</v>
      </c>
      <c r="L509" s="74">
        <f>'Пр. 9'!M425</f>
        <v>0</v>
      </c>
    </row>
    <row r="510" spans="1:12" s="5" customFormat="1" ht="28.5">
      <c r="A510" s="116" t="s">
        <v>766</v>
      </c>
      <c r="B510" s="95" t="s">
        <v>284</v>
      </c>
      <c r="C510" s="94">
        <v>1</v>
      </c>
      <c r="D510" s="95" t="s">
        <v>174</v>
      </c>
      <c r="E510" s="95" t="s">
        <v>150</v>
      </c>
      <c r="F510" s="67"/>
      <c r="G510" s="95"/>
      <c r="H510" s="36">
        <f aca="true" t="shared" si="31" ref="H510:I512">H511</f>
        <v>99.9</v>
      </c>
      <c r="I510" s="36">
        <f t="shared" si="31"/>
        <v>99.9</v>
      </c>
      <c r="J510" s="96">
        <f t="shared" si="29"/>
        <v>0</v>
      </c>
      <c r="K510" s="36">
        <f aca="true" t="shared" si="32" ref="K510:L512">K511</f>
        <v>100</v>
      </c>
      <c r="L510" s="36">
        <f t="shared" si="32"/>
        <v>100</v>
      </c>
    </row>
    <row r="511" spans="1:12" s="5" customFormat="1" ht="30">
      <c r="A511" s="102" t="s">
        <v>829</v>
      </c>
      <c r="B511" s="100" t="s">
        <v>284</v>
      </c>
      <c r="C511" s="117">
        <v>1</v>
      </c>
      <c r="D511" s="100" t="s">
        <v>174</v>
      </c>
      <c r="E511" s="100" t="s">
        <v>509</v>
      </c>
      <c r="F511" s="99"/>
      <c r="G511" s="100"/>
      <c r="H511" s="74">
        <f t="shared" si="31"/>
        <v>99.9</v>
      </c>
      <c r="I511" s="74">
        <f t="shared" si="31"/>
        <v>99.9</v>
      </c>
      <c r="J511" s="101">
        <f t="shared" si="29"/>
        <v>0</v>
      </c>
      <c r="K511" s="74">
        <f t="shared" si="32"/>
        <v>100</v>
      </c>
      <c r="L511" s="74">
        <f t="shared" si="32"/>
        <v>100</v>
      </c>
    </row>
    <row r="512" spans="1:12" s="5" customFormat="1" ht="15">
      <c r="A512" s="111" t="s">
        <v>692</v>
      </c>
      <c r="B512" s="100" t="s">
        <v>284</v>
      </c>
      <c r="C512" s="117">
        <v>1</v>
      </c>
      <c r="D512" s="100" t="s">
        <v>174</v>
      </c>
      <c r="E512" s="100" t="s">
        <v>509</v>
      </c>
      <c r="F512" s="99" t="s">
        <v>691</v>
      </c>
      <c r="G512" s="100"/>
      <c r="H512" s="74">
        <f t="shared" si="31"/>
        <v>99.9</v>
      </c>
      <c r="I512" s="74">
        <f t="shared" si="31"/>
        <v>99.9</v>
      </c>
      <c r="J512" s="101">
        <f t="shared" si="29"/>
        <v>0</v>
      </c>
      <c r="K512" s="74">
        <f t="shared" si="32"/>
        <v>100</v>
      </c>
      <c r="L512" s="74">
        <f t="shared" si="32"/>
        <v>100</v>
      </c>
    </row>
    <row r="513" spans="1:12" s="5" customFormat="1" ht="15">
      <c r="A513" s="22" t="s">
        <v>93</v>
      </c>
      <c r="B513" s="100" t="s">
        <v>284</v>
      </c>
      <c r="C513" s="117">
        <v>1</v>
      </c>
      <c r="D513" s="100" t="s">
        <v>174</v>
      </c>
      <c r="E513" s="100" t="s">
        <v>509</v>
      </c>
      <c r="F513" s="99" t="s">
        <v>691</v>
      </c>
      <c r="G513" s="100" t="s">
        <v>94</v>
      </c>
      <c r="H513" s="74">
        <f>'Пр. 9'!I428</f>
        <v>99.9</v>
      </c>
      <c r="I513" s="74">
        <f>'Пр. 9'!J428</f>
        <v>99.9</v>
      </c>
      <c r="J513" s="101">
        <f t="shared" si="29"/>
        <v>0</v>
      </c>
      <c r="K513" s="74">
        <f>'Пр. 9'!L428</f>
        <v>100</v>
      </c>
      <c r="L513" s="74">
        <f>'Пр. 9'!M428</f>
        <v>100</v>
      </c>
    </row>
    <row r="514" spans="1:12" s="5" customFormat="1" ht="28.5">
      <c r="A514" s="116" t="s">
        <v>387</v>
      </c>
      <c r="B514" s="95" t="s">
        <v>284</v>
      </c>
      <c r="C514" s="94">
        <v>1</v>
      </c>
      <c r="D514" s="95" t="s">
        <v>187</v>
      </c>
      <c r="E514" s="95" t="s">
        <v>150</v>
      </c>
      <c r="F514" s="67"/>
      <c r="G514" s="95"/>
      <c r="H514" s="36">
        <f aca="true" t="shared" si="33" ref="H514:I516">H515</f>
        <v>21</v>
      </c>
      <c r="I514" s="36">
        <f t="shared" si="33"/>
        <v>21</v>
      </c>
      <c r="J514" s="96">
        <f t="shared" si="29"/>
        <v>0</v>
      </c>
      <c r="K514" s="36">
        <f aca="true" t="shared" si="34" ref="K514:L516">K515</f>
        <v>25</v>
      </c>
      <c r="L514" s="36">
        <f t="shared" si="34"/>
        <v>25</v>
      </c>
    </row>
    <row r="515" spans="1:12" s="5" customFormat="1" ht="30">
      <c r="A515" s="102" t="s">
        <v>801</v>
      </c>
      <c r="B515" s="100" t="s">
        <v>284</v>
      </c>
      <c r="C515" s="117">
        <v>1</v>
      </c>
      <c r="D515" s="100" t="s">
        <v>187</v>
      </c>
      <c r="E515" s="100" t="s">
        <v>510</v>
      </c>
      <c r="F515" s="99"/>
      <c r="G515" s="100"/>
      <c r="H515" s="74">
        <f t="shared" si="33"/>
        <v>21</v>
      </c>
      <c r="I515" s="74">
        <f t="shared" si="33"/>
        <v>21</v>
      </c>
      <c r="J515" s="101">
        <f t="shared" si="29"/>
        <v>0</v>
      </c>
      <c r="K515" s="74">
        <f t="shared" si="34"/>
        <v>25</v>
      </c>
      <c r="L515" s="74">
        <f t="shared" si="34"/>
        <v>25</v>
      </c>
    </row>
    <row r="516" spans="1:12" s="5" customFormat="1" ht="15">
      <c r="A516" s="111" t="s">
        <v>692</v>
      </c>
      <c r="B516" s="100" t="s">
        <v>284</v>
      </c>
      <c r="C516" s="117">
        <v>1</v>
      </c>
      <c r="D516" s="100" t="s">
        <v>187</v>
      </c>
      <c r="E516" s="100" t="s">
        <v>510</v>
      </c>
      <c r="F516" s="99" t="s">
        <v>691</v>
      </c>
      <c r="G516" s="100"/>
      <c r="H516" s="74">
        <f t="shared" si="33"/>
        <v>21</v>
      </c>
      <c r="I516" s="74">
        <f t="shared" si="33"/>
        <v>21</v>
      </c>
      <c r="J516" s="101">
        <f t="shared" si="29"/>
        <v>0</v>
      </c>
      <c r="K516" s="74">
        <f t="shared" si="34"/>
        <v>25</v>
      </c>
      <c r="L516" s="74">
        <f t="shared" si="34"/>
        <v>25</v>
      </c>
    </row>
    <row r="517" spans="1:12" s="5" customFormat="1" ht="15">
      <c r="A517" s="22" t="s">
        <v>93</v>
      </c>
      <c r="B517" s="100" t="s">
        <v>284</v>
      </c>
      <c r="C517" s="117">
        <v>1</v>
      </c>
      <c r="D517" s="100" t="s">
        <v>187</v>
      </c>
      <c r="E517" s="100" t="s">
        <v>510</v>
      </c>
      <c r="F517" s="99" t="s">
        <v>691</v>
      </c>
      <c r="G517" s="100" t="s">
        <v>94</v>
      </c>
      <c r="H517" s="74">
        <f>'Пр. 9'!I431</f>
        <v>21</v>
      </c>
      <c r="I517" s="74">
        <f>'Пр. 9'!J431</f>
        <v>21</v>
      </c>
      <c r="J517" s="101">
        <f t="shared" si="29"/>
        <v>0</v>
      </c>
      <c r="K517" s="74">
        <f>'Пр. 9'!L431</f>
        <v>25</v>
      </c>
      <c r="L517" s="74">
        <f>'Пр. 9'!M431</f>
        <v>25</v>
      </c>
    </row>
    <row r="518" spans="1:12" s="5" customFormat="1" ht="42.75">
      <c r="A518" s="116" t="s">
        <v>767</v>
      </c>
      <c r="B518" s="95" t="s">
        <v>284</v>
      </c>
      <c r="C518" s="94">
        <v>1</v>
      </c>
      <c r="D518" s="95" t="s">
        <v>206</v>
      </c>
      <c r="E518" s="95" t="s">
        <v>150</v>
      </c>
      <c r="F518" s="67"/>
      <c r="G518" s="95"/>
      <c r="H518" s="36">
        <f>H519+H522</f>
        <v>64.1</v>
      </c>
      <c r="I518" s="36">
        <f>I519+I522</f>
        <v>64.1</v>
      </c>
      <c r="J518" s="96">
        <f t="shared" si="29"/>
        <v>0</v>
      </c>
      <c r="K518" s="36">
        <f>K519+K522</f>
        <v>66</v>
      </c>
      <c r="L518" s="36">
        <f>L519+L522</f>
        <v>66</v>
      </c>
    </row>
    <row r="519" spans="1:12" s="5" customFormat="1" ht="45">
      <c r="A519" s="102" t="s">
        <v>514</v>
      </c>
      <c r="B519" s="100" t="s">
        <v>284</v>
      </c>
      <c r="C519" s="117">
        <v>1</v>
      </c>
      <c r="D519" s="100" t="s">
        <v>206</v>
      </c>
      <c r="E519" s="99" t="s">
        <v>511</v>
      </c>
      <c r="F519" s="99"/>
      <c r="G519" s="100"/>
      <c r="H519" s="74">
        <f>H520</f>
        <v>40.4</v>
      </c>
      <c r="I519" s="74">
        <f>I520</f>
        <v>40.4</v>
      </c>
      <c r="J519" s="101">
        <f t="shared" si="29"/>
        <v>0</v>
      </c>
      <c r="K519" s="74">
        <f>K520</f>
        <v>42</v>
      </c>
      <c r="L519" s="74">
        <f>L520</f>
        <v>42</v>
      </c>
    </row>
    <row r="520" spans="1:12" s="5" customFormat="1" ht="15">
      <c r="A520" s="102" t="s">
        <v>692</v>
      </c>
      <c r="B520" s="100" t="s">
        <v>284</v>
      </c>
      <c r="C520" s="117">
        <v>1</v>
      </c>
      <c r="D520" s="100" t="s">
        <v>206</v>
      </c>
      <c r="E520" s="99" t="s">
        <v>511</v>
      </c>
      <c r="F520" s="99" t="s">
        <v>691</v>
      </c>
      <c r="G520" s="100"/>
      <c r="H520" s="74">
        <f>H521</f>
        <v>40.4</v>
      </c>
      <c r="I520" s="74">
        <f>I521</f>
        <v>40.4</v>
      </c>
      <c r="J520" s="101">
        <f t="shared" si="29"/>
        <v>0</v>
      </c>
      <c r="K520" s="74">
        <f>K521</f>
        <v>42</v>
      </c>
      <c r="L520" s="74">
        <f>L521</f>
        <v>42</v>
      </c>
    </row>
    <row r="521" spans="1:12" s="5" customFormat="1" ht="15">
      <c r="A521" s="22" t="s">
        <v>93</v>
      </c>
      <c r="B521" s="100" t="s">
        <v>284</v>
      </c>
      <c r="C521" s="117">
        <v>1</v>
      </c>
      <c r="D521" s="100" t="s">
        <v>206</v>
      </c>
      <c r="E521" s="99" t="s">
        <v>511</v>
      </c>
      <c r="F521" s="99" t="s">
        <v>691</v>
      </c>
      <c r="G521" s="100" t="s">
        <v>94</v>
      </c>
      <c r="H521" s="74">
        <f>'Пр. 9'!I434</f>
        <v>40.4</v>
      </c>
      <c r="I521" s="74">
        <f>'Пр. 9'!J434</f>
        <v>40.4</v>
      </c>
      <c r="J521" s="101">
        <f t="shared" si="29"/>
        <v>0</v>
      </c>
      <c r="K521" s="74">
        <f>'Пр. 9'!L434</f>
        <v>42</v>
      </c>
      <c r="L521" s="74">
        <f>'Пр. 9'!M434</f>
        <v>42</v>
      </c>
    </row>
    <row r="522" spans="1:12" s="5" customFormat="1" ht="24.75" customHeight="1">
      <c r="A522" s="22" t="s">
        <v>388</v>
      </c>
      <c r="B522" s="100" t="s">
        <v>284</v>
      </c>
      <c r="C522" s="117">
        <v>1</v>
      </c>
      <c r="D522" s="100" t="s">
        <v>206</v>
      </c>
      <c r="E522" s="99" t="s">
        <v>389</v>
      </c>
      <c r="F522" s="99"/>
      <c r="G522" s="99"/>
      <c r="H522" s="74">
        <f>H523</f>
        <v>23.7</v>
      </c>
      <c r="I522" s="74">
        <f>I523</f>
        <v>23.7</v>
      </c>
      <c r="J522" s="101">
        <f t="shared" si="29"/>
        <v>0</v>
      </c>
      <c r="K522" s="74">
        <f>K523</f>
        <v>24</v>
      </c>
      <c r="L522" s="74">
        <f>L523</f>
        <v>24</v>
      </c>
    </row>
    <row r="523" spans="1:12" s="5" customFormat="1" ht="15">
      <c r="A523" s="102" t="s">
        <v>692</v>
      </c>
      <c r="B523" s="100" t="s">
        <v>284</v>
      </c>
      <c r="C523" s="117">
        <v>1</v>
      </c>
      <c r="D523" s="100" t="s">
        <v>206</v>
      </c>
      <c r="E523" s="99" t="s">
        <v>389</v>
      </c>
      <c r="F523" s="99" t="s">
        <v>691</v>
      </c>
      <c r="G523" s="100"/>
      <c r="H523" s="74">
        <f>H524</f>
        <v>23.7</v>
      </c>
      <c r="I523" s="74">
        <f>I524</f>
        <v>23.7</v>
      </c>
      <c r="J523" s="101">
        <f t="shared" si="29"/>
        <v>0</v>
      </c>
      <c r="K523" s="74">
        <f>K524</f>
        <v>24</v>
      </c>
      <c r="L523" s="74">
        <f>L524</f>
        <v>24</v>
      </c>
    </row>
    <row r="524" spans="1:12" s="5" customFormat="1" ht="15">
      <c r="A524" s="22" t="s">
        <v>93</v>
      </c>
      <c r="B524" s="100" t="s">
        <v>284</v>
      </c>
      <c r="C524" s="117">
        <v>1</v>
      </c>
      <c r="D524" s="100" t="s">
        <v>206</v>
      </c>
      <c r="E524" s="99" t="s">
        <v>389</v>
      </c>
      <c r="F524" s="99" t="s">
        <v>691</v>
      </c>
      <c r="G524" s="100" t="s">
        <v>94</v>
      </c>
      <c r="H524" s="74">
        <f>'Пр. 9'!I436</f>
        <v>23.7</v>
      </c>
      <c r="I524" s="74">
        <f>'Пр. 9'!J436</f>
        <v>23.7</v>
      </c>
      <c r="J524" s="101">
        <f t="shared" si="29"/>
        <v>0</v>
      </c>
      <c r="K524" s="74">
        <f>'Пр. 9'!L436</f>
        <v>24</v>
      </c>
      <c r="L524" s="74">
        <f>'Пр. 9'!M436</f>
        <v>24</v>
      </c>
    </row>
    <row r="525" spans="1:12" s="5" customFormat="1" ht="28.5">
      <c r="A525" s="116" t="s">
        <v>390</v>
      </c>
      <c r="B525" s="95" t="s">
        <v>284</v>
      </c>
      <c r="C525" s="94">
        <v>2</v>
      </c>
      <c r="D525" s="95" t="s">
        <v>149</v>
      </c>
      <c r="E525" s="95" t="s">
        <v>150</v>
      </c>
      <c r="F525" s="67"/>
      <c r="G525" s="95"/>
      <c r="H525" s="36">
        <f>H526</f>
        <v>36.8</v>
      </c>
      <c r="I525" s="36">
        <f>I526</f>
        <v>36.8</v>
      </c>
      <c r="J525" s="96">
        <f t="shared" si="29"/>
        <v>0</v>
      </c>
      <c r="K525" s="36">
        <f>K526</f>
        <v>37</v>
      </c>
      <c r="L525" s="36">
        <f>L526</f>
        <v>37</v>
      </c>
    </row>
    <row r="526" spans="1:12" s="5" customFormat="1" ht="42.75">
      <c r="A526" s="116" t="s">
        <v>768</v>
      </c>
      <c r="B526" s="95" t="s">
        <v>284</v>
      </c>
      <c r="C526" s="94">
        <v>2</v>
      </c>
      <c r="D526" s="95" t="s">
        <v>147</v>
      </c>
      <c r="E526" s="95" t="s">
        <v>150</v>
      </c>
      <c r="F526" s="67"/>
      <c r="G526" s="95"/>
      <c r="H526" s="36">
        <f>H527+H530</f>
        <v>36.8</v>
      </c>
      <c r="I526" s="36">
        <f>I527+I530</f>
        <v>36.8</v>
      </c>
      <c r="J526" s="96">
        <f t="shared" si="29"/>
        <v>0</v>
      </c>
      <c r="K526" s="36">
        <f>K527+K530</f>
        <v>37</v>
      </c>
      <c r="L526" s="36">
        <f>L527+L530</f>
        <v>37</v>
      </c>
    </row>
    <row r="527" spans="1:12" s="5" customFormat="1" ht="30">
      <c r="A527" s="102" t="s">
        <v>512</v>
      </c>
      <c r="B527" s="99" t="s">
        <v>284</v>
      </c>
      <c r="C527" s="99" t="s">
        <v>132</v>
      </c>
      <c r="D527" s="99" t="s">
        <v>147</v>
      </c>
      <c r="E527" s="99" t="s">
        <v>513</v>
      </c>
      <c r="F527" s="99"/>
      <c r="G527" s="100"/>
      <c r="H527" s="74">
        <f>H528</f>
        <v>27.9</v>
      </c>
      <c r="I527" s="74">
        <f>I528</f>
        <v>27.9</v>
      </c>
      <c r="J527" s="101">
        <f t="shared" si="29"/>
        <v>0</v>
      </c>
      <c r="K527" s="74">
        <f>K528</f>
        <v>27</v>
      </c>
      <c r="L527" s="74">
        <f>L528</f>
        <v>27</v>
      </c>
    </row>
    <row r="528" spans="1:12" s="5" customFormat="1" ht="15">
      <c r="A528" s="102" t="s">
        <v>692</v>
      </c>
      <c r="B528" s="99" t="s">
        <v>284</v>
      </c>
      <c r="C528" s="99" t="s">
        <v>132</v>
      </c>
      <c r="D528" s="99" t="s">
        <v>147</v>
      </c>
      <c r="E528" s="99" t="s">
        <v>513</v>
      </c>
      <c r="F528" s="99" t="s">
        <v>691</v>
      </c>
      <c r="G528" s="100"/>
      <c r="H528" s="74">
        <f>H529</f>
        <v>27.9</v>
      </c>
      <c r="I528" s="74">
        <f>I529</f>
        <v>27.9</v>
      </c>
      <c r="J528" s="101">
        <f t="shared" si="29"/>
        <v>0</v>
      </c>
      <c r="K528" s="74">
        <f>K529</f>
        <v>27</v>
      </c>
      <c r="L528" s="74">
        <f>L529</f>
        <v>27</v>
      </c>
    </row>
    <row r="529" spans="1:12" s="4" customFormat="1" ht="15">
      <c r="A529" s="22" t="s">
        <v>93</v>
      </c>
      <c r="B529" s="99" t="s">
        <v>284</v>
      </c>
      <c r="C529" s="99" t="s">
        <v>132</v>
      </c>
      <c r="D529" s="99" t="s">
        <v>147</v>
      </c>
      <c r="E529" s="99" t="s">
        <v>513</v>
      </c>
      <c r="F529" s="99" t="s">
        <v>691</v>
      </c>
      <c r="G529" s="100" t="s">
        <v>94</v>
      </c>
      <c r="H529" s="74">
        <f>'Пр. 9'!I440</f>
        <v>27.9</v>
      </c>
      <c r="I529" s="74">
        <f>'Пр. 9'!J440</f>
        <v>27.9</v>
      </c>
      <c r="J529" s="101">
        <f t="shared" si="29"/>
        <v>0</v>
      </c>
      <c r="K529" s="74">
        <f>'Пр. 9'!L440</f>
        <v>27</v>
      </c>
      <c r="L529" s="74">
        <f>'Пр. 9'!M440</f>
        <v>27</v>
      </c>
    </row>
    <row r="530" spans="1:12" s="4" customFormat="1" ht="30">
      <c r="A530" s="102" t="s">
        <v>391</v>
      </c>
      <c r="B530" s="99" t="s">
        <v>284</v>
      </c>
      <c r="C530" s="99" t="s">
        <v>132</v>
      </c>
      <c r="D530" s="99" t="s">
        <v>147</v>
      </c>
      <c r="E530" s="99" t="s">
        <v>392</v>
      </c>
      <c r="F530" s="99"/>
      <c r="G530" s="99"/>
      <c r="H530" s="74">
        <f>H531</f>
        <v>8.9</v>
      </c>
      <c r="I530" s="74">
        <f>I531</f>
        <v>8.9</v>
      </c>
      <c r="J530" s="101">
        <f t="shared" si="29"/>
        <v>0</v>
      </c>
      <c r="K530" s="74">
        <f>K531</f>
        <v>10</v>
      </c>
      <c r="L530" s="74">
        <f>L531</f>
        <v>10</v>
      </c>
    </row>
    <row r="531" spans="1:12" s="4" customFormat="1" ht="15">
      <c r="A531" s="102" t="s">
        <v>692</v>
      </c>
      <c r="B531" s="99" t="s">
        <v>284</v>
      </c>
      <c r="C531" s="99" t="s">
        <v>132</v>
      </c>
      <c r="D531" s="99" t="s">
        <v>147</v>
      </c>
      <c r="E531" s="99" t="s">
        <v>392</v>
      </c>
      <c r="F531" s="99" t="s">
        <v>691</v>
      </c>
      <c r="G531" s="99"/>
      <c r="H531" s="74">
        <f>H532</f>
        <v>8.9</v>
      </c>
      <c r="I531" s="74">
        <f>I532</f>
        <v>8.9</v>
      </c>
      <c r="J531" s="101">
        <f t="shared" si="29"/>
        <v>0</v>
      </c>
      <c r="K531" s="74">
        <f>K532</f>
        <v>10</v>
      </c>
      <c r="L531" s="74">
        <f>L532</f>
        <v>10</v>
      </c>
    </row>
    <row r="532" spans="1:12" s="4" customFormat="1" ht="15">
      <c r="A532" s="22" t="s">
        <v>93</v>
      </c>
      <c r="B532" s="99" t="s">
        <v>284</v>
      </c>
      <c r="C532" s="99" t="s">
        <v>132</v>
      </c>
      <c r="D532" s="99" t="s">
        <v>147</v>
      </c>
      <c r="E532" s="99" t="s">
        <v>392</v>
      </c>
      <c r="F532" s="99" t="s">
        <v>691</v>
      </c>
      <c r="G532" s="100" t="s">
        <v>94</v>
      </c>
      <c r="H532" s="74">
        <f>'Пр. 9'!I442</f>
        <v>8.9</v>
      </c>
      <c r="I532" s="74">
        <f>'Пр. 9'!J442</f>
        <v>8.9</v>
      </c>
      <c r="J532" s="101">
        <f t="shared" si="29"/>
        <v>0</v>
      </c>
      <c r="K532" s="74">
        <f>'Пр. 9'!L442</f>
        <v>10</v>
      </c>
      <c r="L532" s="74">
        <f>'Пр. 9'!M442</f>
        <v>10</v>
      </c>
    </row>
    <row r="533" spans="1:12" s="4" customFormat="1" ht="42.75">
      <c r="A533" s="110" t="s">
        <v>287</v>
      </c>
      <c r="B533" s="67" t="s">
        <v>288</v>
      </c>
      <c r="C533" s="67" t="s">
        <v>148</v>
      </c>
      <c r="D533" s="67" t="s">
        <v>149</v>
      </c>
      <c r="E533" s="67" t="s">
        <v>150</v>
      </c>
      <c r="F533" s="67"/>
      <c r="G533" s="95"/>
      <c r="H533" s="36">
        <f>H534+H546+H557+H568</f>
        <v>36978.600000000006</v>
      </c>
      <c r="I533" s="36">
        <f>I534+I546+I557+I568</f>
        <v>37278.600000000006</v>
      </c>
      <c r="J533" s="96">
        <f t="shared" si="29"/>
        <v>300</v>
      </c>
      <c r="K533" s="36">
        <f>K534+K546+K557+K568</f>
        <v>23876.600000000002</v>
      </c>
      <c r="L533" s="36">
        <f>L534+L546+L557+L568</f>
        <v>28937.9</v>
      </c>
    </row>
    <row r="534" spans="1:12" s="4" customFormat="1" ht="42.75">
      <c r="A534" s="97" t="s">
        <v>771</v>
      </c>
      <c r="B534" s="67" t="s">
        <v>288</v>
      </c>
      <c r="C534" s="67" t="s">
        <v>131</v>
      </c>
      <c r="D534" s="67" t="s">
        <v>149</v>
      </c>
      <c r="E534" s="67" t="s">
        <v>150</v>
      </c>
      <c r="F534" s="67"/>
      <c r="G534" s="95"/>
      <c r="H534" s="36">
        <f>H539+H535</f>
        <v>7874.2</v>
      </c>
      <c r="I534" s="36">
        <f>I539+I535</f>
        <v>7874.2</v>
      </c>
      <c r="J534" s="96">
        <f t="shared" si="29"/>
        <v>0</v>
      </c>
      <c r="K534" s="36">
        <f>K539+K535</f>
        <v>7963.9</v>
      </c>
      <c r="L534" s="36">
        <f>L539+L535</f>
        <v>8172.2</v>
      </c>
    </row>
    <row r="535" spans="1:12" s="4" customFormat="1" ht="42.75">
      <c r="A535" s="127" t="s">
        <v>974</v>
      </c>
      <c r="B535" s="95" t="s">
        <v>288</v>
      </c>
      <c r="C535" s="95" t="s">
        <v>131</v>
      </c>
      <c r="D535" s="95" t="s">
        <v>147</v>
      </c>
      <c r="E535" s="95" t="s">
        <v>150</v>
      </c>
      <c r="F535" s="94"/>
      <c r="G535" s="95"/>
      <c r="H535" s="36">
        <f aca="true" t="shared" si="35" ref="H535:I537">H536</f>
        <v>0</v>
      </c>
      <c r="I535" s="36">
        <f t="shared" si="35"/>
        <v>0</v>
      </c>
      <c r="J535" s="96">
        <f t="shared" si="29"/>
        <v>0</v>
      </c>
      <c r="K535" s="36">
        <f aca="true" t="shared" si="36" ref="K535:L537">K536</f>
        <v>89.7</v>
      </c>
      <c r="L535" s="36">
        <f t="shared" si="36"/>
        <v>72.2</v>
      </c>
    </row>
    <row r="536" spans="1:12" s="4" customFormat="1" ht="30">
      <c r="A536" s="109" t="s">
        <v>975</v>
      </c>
      <c r="B536" s="100" t="s">
        <v>288</v>
      </c>
      <c r="C536" s="100" t="s">
        <v>131</v>
      </c>
      <c r="D536" s="100" t="s">
        <v>147</v>
      </c>
      <c r="E536" s="100" t="s">
        <v>976</v>
      </c>
      <c r="F536" s="117"/>
      <c r="G536" s="95"/>
      <c r="H536" s="74">
        <f t="shared" si="35"/>
        <v>0</v>
      </c>
      <c r="I536" s="74">
        <f t="shared" si="35"/>
        <v>0</v>
      </c>
      <c r="J536" s="101">
        <f t="shared" si="29"/>
        <v>0</v>
      </c>
      <c r="K536" s="74">
        <f t="shared" si="36"/>
        <v>89.7</v>
      </c>
      <c r="L536" s="74">
        <f t="shared" si="36"/>
        <v>72.2</v>
      </c>
    </row>
    <row r="537" spans="1:12" s="4" customFormat="1" ht="30">
      <c r="A537" s="111" t="s">
        <v>683</v>
      </c>
      <c r="B537" s="100" t="s">
        <v>288</v>
      </c>
      <c r="C537" s="100" t="s">
        <v>131</v>
      </c>
      <c r="D537" s="100" t="s">
        <v>147</v>
      </c>
      <c r="E537" s="100" t="s">
        <v>976</v>
      </c>
      <c r="F537" s="117">
        <v>200</v>
      </c>
      <c r="G537" s="95"/>
      <c r="H537" s="74">
        <f t="shared" si="35"/>
        <v>0</v>
      </c>
      <c r="I537" s="74">
        <f t="shared" si="35"/>
        <v>0</v>
      </c>
      <c r="J537" s="101">
        <f t="shared" si="29"/>
        <v>0</v>
      </c>
      <c r="K537" s="74">
        <f t="shared" si="36"/>
        <v>89.7</v>
      </c>
      <c r="L537" s="74">
        <f t="shared" si="36"/>
        <v>72.2</v>
      </c>
    </row>
    <row r="538" spans="1:12" s="4" customFormat="1" ht="15">
      <c r="A538" s="69" t="s">
        <v>67</v>
      </c>
      <c r="B538" s="100" t="s">
        <v>288</v>
      </c>
      <c r="C538" s="100" t="s">
        <v>131</v>
      </c>
      <c r="D538" s="100" t="s">
        <v>147</v>
      </c>
      <c r="E538" s="100" t="s">
        <v>976</v>
      </c>
      <c r="F538" s="117">
        <v>200</v>
      </c>
      <c r="G538" s="100" t="s">
        <v>68</v>
      </c>
      <c r="H538" s="74">
        <f>'Пр. 9'!I753</f>
        <v>0</v>
      </c>
      <c r="I538" s="74">
        <f>'Пр. 9'!J753</f>
        <v>0</v>
      </c>
      <c r="J538" s="101">
        <f t="shared" si="29"/>
        <v>0</v>
      </c>
      <c r="K538" s="74">
        <f>'Пр. 9'!L753</f>
        <v>89.7</v>
      </c>
      <c r="L538" s="74">
        <f>'Пр. 9'!M753</f>
        <v>72.2</v>
      </c>
    </row>
    <row r="539" spans="1:12" s="5" customFormat="1" ht="47.25" customHeight="1">
      <c r="A539" s="138" t="s">
        <v>772</v>
      </c>
      <c r="B539" s="67" t="s">
        <v>288</v>
      </c>
      <c r="C539" s="67" t="s">
        <v>131</v>
      </c>
      <c r="D539" s="67" t="s">
        <v>174</v>
      </c>
      <c r="E539" s="67" t="s">
        <v>150</v>
      </c>
      <c r="F539" s="67"/>
      <c r="G539" s="95"/>
      <c r="H539" s="36">
        <f>H540+H543</f>
        <v>7874.2</v>
      </c>
      <c r="I539" s="36">
        <f>I540+I543</f>
        <v>7874.2</v>
      </c>
      <c r="J539" s="96">
        <f t="shared" si="29"/>
        <v>0</v>
      </c>
      <c r="K539" s="36">
        <f>K540+K543</f>
        <v>7874.2</v>
      </c>
      <c r="L539" s="36">
        <f>L540+L543</f>
        <v>8100</v>
      </c>
    </row>
    <row r="540" spans="1:12" s="4" customFormat="1" ht="15">
      <c r="A540" s="102" t="s">
        <v>289</v>
      </c>
      <c r="B540" s="99" t="s">
        <v>288</v>
      </c>
      <c r="C540" s="99" t="s">
        <v>131</v>
      </c>
      <c r="D540" s="99" t="s">
        <v>174</v>
      </c>
      <c r="E540" s="99" t="s">
        <v>290</v>
      </c>
      <c r="F540" s="99"/>
      <c r="G540" s="100"/>
      <c r="H540" s="74">
        <f aca="true" t="shared" si="37" ref="H540:L541">H541</f>
        <v>3833.5</v>
      </c>
      <c r="I540" s="74">
        <f t="shared" si="37"/>
        <v>3833.5</v>
      </c>
      <c r="J540" s="101">
        <f t="shared" si="29"/>
        <v>0</v>
      </c>
      <c r="K540" s="74">
        <f t="shared" si="37"/>
        <v>3833.5</v>
      </c>
      <c r="L540" s="74">
        <f t="shared" si="37"/>
        <v>4000</v>
      </c>
    </row>
    <row r="541" spans="1:12" s="4" customFormat="1" ht="15">
      <c r="A541" s="107" t="s">
        <v>684</v>
      </c>
      <c r="B541" s="99" t="s">
        <v>288</v>
      </c>
      <c r="C541" s="99" t="s">
        <v>131</v>
      </c>
      <c r="D541" s="99" t="s">
        <v>174</v>
      </c>
      <c r="E541" s="99" t="s">
        <v>290</v>
      </c>
      <c r="F541" s="99" t="s">
        <v>685</v>
      </c>
      <c r="G541" s="100"/>
      <c r="H541" s="74">
        <f t="shared" si="37"/>
        <v>3833.5</v>
      </c>
      <c r="I541" s="74">
        <f t="shared" si="37"/>
        <v>3833.5</v>
      </c>
      <c r="J541" s="101">
        <f t="shared" si="29"/>
        <v>0</v>
      </c>
      <c r="K541" s="74">
        <f t="shared" si="37"/>
        <v>3833.5</v>
      </c>
      <c r="L541" s="74">
        <f t="shared" si="37"/>
        <v>4000</v>
      </c>
    </row>
    <row r="542" spans="1:12" s="4" customFormat="1" ht="15">
      <c r="A542" s="107" t="s">
        <v>59</v>
      </c>
      <c r="B542" s="99" t="s">
        <v>288</v>
      </c>
      <c r="C542" s="99" t="s">
        <v>131</v>
      </c>
      <c r="D542" s="99" t="s">
        <v>174</v>
      </c>
      <c r="E542" s="99" t="s">
        <v>290</v>
      </c>
      <c r="F542" s="99" t="s">
        <v>685</v>
      </c>
      <c r="G542" s="100" t="s">
        <v>60</v>
      </c>
      <c r="H542" s="74">
        <f>'Пр. 9'!I184</f>
        <v>3833.5</v>
      </c>
      <c r="I542" s="74">
        <f>'Пр. 9'!J184</f>
        <v>3833.5</v>
      </c>
      <c r="J542" s="101">
        <f t="shared" si="29"/>
        <v>0</v>
      </c>
      <c r="K542" s="74">
        <f>'Пр. 9'!L184</f>
        <v>3833.5</v>
      </c>
      <c r="L542" s="74">
        <f>'Пр. 9'!M184</f>
        <v>4000</v>
      </c>
    </row>
    <row r="543" spans="1:12" s="4" customFormat="1" ht="15">
      <c r="A543" s="102" t="s">
        <v>773</v>
      </c>
      <c r="B543" s="99" t="s">
        <v>288</v>
      </c>
      <c r="C543" s="99" t="s">
        <v>131</v>
      </c>
      <c r="D543" s="99" t="s">
        <v>174</v>
      </c>
      <c r="E543" s="99" t="s">
        <v>291</v>
      </c>
      <c r="F543" s="99"/>
      <c r="G543" s="100"/>
      <c r="H543" s="74">
        <f>H544</f>
        <v>4040.7</v>
      </c>
      <c r="I543" s="74">
        <f>I544</f>
        <v>4040.7</v>
      </c>
      <c r="J543" s="101">
        <f t="shared" si="29"/>
        <v>0</v>
      </c>
      <c r="K543" s="74">
        <f>K544</f>
        <v>4040.7</v>
      </c>
      <c r="L543" s="74">
        <f>L544</f>
        <v>4100</v>
      </c>
    </row>
    <row r="544" spans="1:12" s="4" customFormat="1" ht="15">
      <c r="A544" s="107" t="s">
        <v>684</v>
      </c>
      <c r="B544" s="99" t="s">
        <v>288</v>
      </c>
      <c r="C544" s="99" t="s">
        <v>131</v>
      </c>
      <c r="D544" s="99" t="s">
        <v>174</v>
      </c>
      <c r="E544" s="99" t="s">
        <v>291</v>
      </c>
      <c r="F544" s="99" t="s">
        <v>685</v>
      </c>
      <c r="G544" s="100"/>
      <c r="H544" s="74">
        <f>H545</f>
        <v>4040.7</v>
      </c>
      <c r="I544" s="74">
        <f>I545</f>
        <v>4040.7</v>
      </c>
      <c r="J544" s="101">
        <f t="shared" si="29"/>
        <v>0</v>
      </c>
      <c r="K544" s="74">
        <f>K545</f>
        <v>4040.7</v>
      </c>
      <c r="L544" s="74">
        <f>L545</f>
        <v>4100</v>
      </c>
    </row>
    <row r="545" spans="1:12" s="4" customFormat="1" ht="15">
      <c r="A545" s="107" t="s">
        <v>59</v>
      </c>
      <c r="B545" s="99" t="s">
        <v>288</v>
      </c>
      <c r="C545" s="99" t="s">
        <v>131</v>
      </c>
      <c r="D545" s="99" t="s">
        <v>174</v>
      </c>
      <c r="E545" s="99" t="s">
        <v>291</v>
      </c>
      <c r="F545" s="99" t="s">
        <v>685</v>
      </c>
      <c r="G545" s="100" t="s">
        <v>60</v>
      </c>
      <c r="H545" s="74">
        <f>'Пр. 9'!I186</f>
        <v>4040.7</v>
      </c>
      <c r="I545" s="74">
        <f>'Пр. 9'!J186</f>
        <v>4040.7</v>
      </c>
      <c r="J545" s="101">
        <f t="shared" si="29"/>
        <v>0</v>
      </c>
      <c r="K545" s="74">
        <f>'Пр. 9'!L186</f>
        <v>4040.7</v>
      </c>
      <c r="L545" s="74">
        <f>'Пр. 9'!M186</f>
        <v>4100</v>
      </c>
    </row>
    <row r="546" spans="1:12" s="5" customFormat="1" ht="28.5">
      <c r="A546" s="97" t="s">
        <v>296</v>
      </c>
      <c r="B546" s="67" t="s">
        <v>288</v>
      </c>
      <c r="C546" s="67" t="s">
        <v>132</v>
      </c>
      <c r="D546" s="67" t="s">
        <v>149</v>
      </c>
      <c r="E546" s="67" t="s">
        <v>150</v>
      </c>
      <c r="F546" s="67"/>
      <c r="G546" s="95"/>
      <c r="H546" s="36">
        <f>H547</f>
        <v>7155</v>
      </c>
      <c r="I546" s="36">
        <f>I547</f>
        <v>7455</v>
      </c>
      <c r="J546" s="96">
        <f t="shared" si="29"/>
        <v>300</v>
      </c>
      <c r="K546" s="36">
        <f>K547</f>
        <v>7212</v>
      </c>
      <c r="L546" s="36">
        <f>L547</f>
        <v>7212</v>
      </c>
    </row>
    <row r="547" spans="1:12" s="5" customFormat="1" ht="33" customHeight="1">
      <c r="A547" s="124" t="s">
        <v>774</v>
      </c>
      <c r="B547" s="67" t="s">
        <v>288</v>
      </c>
      <c r="C547" s="67" t="s">
        <v>132</v>
      </c>
      <c r="D547" s="67" t="s">
        <v>147</v>
      </c>
      <c r="E547" s="67" t="s">
        <v>150</v>
      </c>
      <c r="F547" s="67"/>
      <c r="G547" s="95"/>
      <c r="H547" s="36">
        <f>H548+H551+H554</f>
        <v>7155</v>
      </c>
      <c r="I547" s="36">
        <f>I548+I551+I554</f>
        <v>7455</v>
      </c>
      <c r="J547" s="96">
        <f t="shared" si="29"/>
        <v>300</v>
      </c>
      <c r="K547" s="36">
        <f>K548+K551+K554</f>
        <v>7212</v>
      </c>
      <c r="L547" s="36">
        <f>L548+L551+L554</f>
        <v>7212</v>
      </c>
    </row>
    <row r="548" spans="1:12" s="4" customFormat="1" ht="30">
      <c r="A548" s="107" t="s">
        <v>297</v>
      </c>
      <c r="B548" s="99" t="s">
        <v>288</v>
      </c>
      <c r="C548" s="99" t="s">
        <v>132</v>
      </c>
      <c r="D548" s="99" t="s">
        <v>147</v>
      </c>
      <c r="E548" s="99" t="s">
        <v>298</v>
      </c>
      <c r="F548" s="99"/>
      <c r="G548" s="100"/>
      <c r="H548" s="74">
        <f>H549</f>
        <v>659</v>
      </c>
      <c r="I548" s="74">
        <f>I549</f>
        <v>959</v>
      </c>
      <c r="J548" s="101">
        <f t="shared" si="29"/>
        <v>300</v>
      </c>
      <c r="K548" s="74">
        <f>K549</f>
        <v>700</v>
      </c>
      <c r="L548" s="74">
        <f>L549</f>
        <v>700</v>
      </c>
    </row>
    <row r="549" spans="1:12" s="4" customFormat="1" ht="15">
      <c r="A549" s="107" t="s">
        <v>684</v>
      </c>
      <c r="B549" s="99" t="s">
        <v>288</v>
      </c>
      <c r="C549" s="99" t="s">
        <v>132</v>
      </c>
      <c r="D549" s="99" t="s">
        <v>147</v>
      </c>
      <c r="E549" s="99" t="s">
        <v>298</v>
      </c>
      <c r="F549" s="99" t="s">
        <v>685</v>
      </c>
      <c r="G549" s="100"/>
      <c r="H549" s="74">
        <f>H550</f>
        <v>659</v>
      </c>
      <c r="I549" s="74">
        <f>I550</f>
        <v>959</v>
      </c>
      <c r="J549" s="101">
        <f t="shared" si="29"/>
        <v>300</v>
      </c>
      <c r="K549" s="74">
        <f>K550</f>
        <v>700</v>
      </c>
      <c r="L549" s="74">
        <f>L550</f>
        <v>700</v>
      </c>
    </row>
    <row r="550" spans="1:12" s="4" customFormat="1" ht="15">
      <c r="A550" s="115" t="s">
        <v>294</v>
      </c>
      <c r="B550" s="99" t="s">
        <v>288</v>
      </c>
      <c r="C550" s="99" t="s">
        <v>132</v>
      </c>
      <c r="D550" s="99" t="s">
        <v>147</v>
      </c>
      <c r="E550" s="99" t="s">
        <v>298</v>
      </c>
      <c r="F550" s="99" t="s">
        <v>685</v>
      </c>
      <c r="G550" s="100" t="s">
        <v>60</v>
      </c>
      <c r="H550" s="74">
        <f>'Пр. 9'!I190</f>
        <v>659</v>
      </c>
      <c r="I550" s="74">
        <f>'Пр. 9'!J190</f>
        <v>959</v>
      </c>
      <c r="J550" s="101">
        <f t="shared" si="29"/>
        <v>300</v>
      </c>
      <c r="K550" s="74">
        <f>'Пр. 9'!L190</f>
        <v>700</v>
      </c>
      <c r="L550" s="74">
        <f>'Пр. 9'!M190</f>
        <v>700</v>
      </c>
    </row>
    <row r="551" spans="1:12" s="4" customFormat="1" ht="30">
      <c r="A551" s="115" t="s">
        <v>468</v>
      </c>
      <c r="B551" s="99" t="s">
        <v>288</v>
      </c>
      <c r="C551" s="99" t="s">
        <v>132</v>
      </c>
      <c r="D551" s="99" t="s">
        <v>147</v>
      </c>
      <c r="E551" s="99" t="s">
        <v>299</v>
      </c>
      <c r="F551" s="99"/>
      <c r="G551" s="100"/>
      <c r="H551" s="74">
        <f>H552</f>
        <v>424</v>
      </c>
      <c r="I551" s="74">
        <f>I552</f>
        <v>424</v>
      </c>
      <c r="J551" s="101">
        <f t="shared" si="29"/>
        <v>0</v>
      </c>
      <c r="K551" s="74">
        <f>K552</f>
        <v>440</v>
      </c>
      <c r="L551" s="74">
        <f>L552</f>
        <v>440</v>
      </c>
    </row>
    <row r="552" spans="1:12" s="5" customFormat="1" ht="30">
      <c r="A552" s="107" t="s">
        <v>688</v>
      </c>
      <c r="B552" s="99" t="s">
        <v>288</v>
      </c>
      <c r="C552" s="99" t="s">
        <v>132</v>
      </c>
      <c r="D552" s="99" t="s">
        <v>147</v>
      </c>
      <c r="E552" s="99" t="s">
        <v>299</v>
      </c>
      <c r="F552" s="99" t="s">
        <v>689</v>
      </c>
      <c r="G552" s="100"/>
      <c r="H552" s="74">
        <f>H553</f>
        <v>424</v>
      </c>
      <c r="I552" s="74">
        <f>I553</f>
        <v>424</v>
      </c>
      <c r="J552" s="101">
        <f t="shared" si="29"/>
        <v>0</v>
      </c>
      <c r="K552" s="74">
        <f>K553</f>
        <v>440</v>
      </c>
      <c r="L552" s="74">
        <f>L553</f>
        <v>440</v>
      </c>
    </row>
    <row r="553" spans="1:12" s="4" customFormat="1" ht="15">
      <c r="A553" s="107" t="s">
        <v>67</v>
      </c>
      <c r="B553" s="99" t="s">
        <v>288</v>
      </c>
      <c r="C553" s="99" t="s">
        <v>132</v>
      </c>
      <c r="D553" s="99" t="s">
        <v>147</v>
      </c>
      <c r="E553" s="99" t="s">
        <v>299</v>
      </c>
      <c r="F553" s="99" t="s">
        <v>689</v>
      </c>
      <c r="G553" s="100" t="s">
        <v>68</v>
      </c>
      <c r="H553" s="74">
        <f>'Пр. 9'!I250</f>
        <v>424</v>
      </c>
      <c r="I553" s="74">
        <f>'Пр. 9'!J250</f>
        <v>424</v>
      </c>
      <c r="J553" s="101">
        <f t="shared" si="29"/>
        <v>0</v>
      </c>
      <c r="K553" s="74">
        <f>'Пр. 9'!L250</f>
        <v>440</v>
      </c>
      <c r="L553" s="74">
        <f>'Пр. 9'!M250</f>
        <v>440</v>
      </c>
    </row>
    <row r="554" spans="1:12" s="4" customFormat="1" ht="15">
      <c r="A554" s="115" t="s">
        <v>294</v>
      </c>
      <c r="B554" s="99" t="s">
        <v>288</v>
      </c>
      <c r="C554" s="99" t="s">
        <v>132</v>
      </c>
      <c r="D554" s="99" t="s">
        <v>147</v>
      </c>
      <c r="E554" s="99" t="s">
        <v>295</v>
      </c>
      <c r="F554" s="99"/>
      <c r="G554" s="100"/>
      <c r="H554" s="74">
        <f>H555</f>
        <v>6072</v>
      </c>
      <c r="I554" s="74">
        <f>I555</f>
        <v>6072</v>
      </c>
      <c r="J554" s="101">
        <f aca="true" t="shared" si="38" ref="J554:J620">I554-H554</f>
        <v>0</v>
      </c>
      <c r="K554" s="74">
        <f>K555</f>
        <v>6072</v>
      </c>
      <c r="L554" s="74">
        <f>L555</f>
        <v>6072</v>
      </c>
    </row>
    <row r="555" spans="1:12" s="4" customFormat="1" ht="15">
      <c r="A555" s="115" t="s">
        <v>684</v>
      </c>
      <c r="B555" s="99" t="s">
        <v>288</v>
      </c>
      <c r="C555" s="99" t="s">
        <v>132</v>
      </c>
      <c r="D555" s="99" t="s">
        <v>147</v>
      </c>
      <c r="E555" s="99" t="s">
        <v>295</v>
      </c>
      <c r="F555" s="99" t="s">
        <v>685</v>
      </c>
      <c r="G555" s="100"/>
      <c r="H555" s="74">
        <f>H556</f>
        <v>6072</v>
      </c>
      <c r="I555" s="74">
        <f>I556</f>
        <v>6072</v>
      </c>
      <c r="J555" s="101">
        <f t="shared" si="38"/>
        <v>0</v>
      </c>
      <c r="K555" s="74">
        <f>K556</f>
        <v>6072</v>
      </c>
      <c r="L555" s="74">
        <f>L556</f>
        <v>6072</v>
      </c>
    </row>
    <row r="556" spans="1:12" s="4" customFormat="1" ht="15">
      <c r="A556" s="115" t="s">
        <v>294</v>
      </c>
      <c r="B556" s="99" t="s">
        <v>288</v>
      </c>
      <c r="C556" s="99" t="s">
        <v>132</v>
      </c>
      <c r="D556" s="99" t="s">
        <v>147</v>
      </c>
      <c r="E556" s="99" t="s">
        <v>295</v>
      </c>
      <c r="F556" s="99" t="s">
        <v>685</v>
      </c>
      <c r="G556" s="100" t="s">
        <v>60</v>
      </c>
      <c r="H556" s="74">
        <f>'Пр. 9'!I192</f>
        <v>6072</v>
      </c>
      <c r="I556" s="74">
        <f>'Пр. 9'!J192</f>
        <v>6072</v>
      </c>
      <c r="J556" s="101">
        <f t="shared" si="38"/>
        <v>0</v>
      </c>
      <c r="K556" s="74">
        <f>'Пр. 9'!L192</f>
        <v>6072</v>
      </c>
      <c r="L556" s="74">
        <f>'Пр. 9'!M192</f>
        <v>6072</v>
      </c>
    </row>
    <row r="557" spans="1:12" s="5" customFormat="1" ht="31.5" customHeight="1">
      <c r="A557" s="97" t="s">
        <v>790</v>
      </c>
      <c r="B557" s="67" t="s">
        <v>288</v>
      </c>
      <c r="C557" s="67" t="s">
        <v>134</v>
      </c>
      <c r="D557" s="67" t="s">
        <v>149</v>
      </c>
      <c r="E557" s="67" t="s">
        <v>150</v>
      </c>
      <c r="F557" s="67"/>
      <c r="G557" s="95"/>
      <c r="H557" s="36">
        <f>H558</f>
        <v>19529.1</v>
      </c>
      <c r="I557" s="36">
        <f>I558</f>
        <v>19529.1</v>
      </c>
      <c r="J557" s="96">
        <f t="shared" si="38"/>
        <v>0</v>
      </c>
      <c r="K557" s="36">
        <f aca="true" t="shared" si="39" ref="K557:L560">K558</f>
        <v>6150</v>
      </c>
      <c r="L557" s="36">
        <f t="shared" si="39"/>
        <v>11000</v>
      </c>
    </row>
    <row r="558" spans="1:12" s="5" customFormat="1" ht="64.5" customHeight="1">
      <c r="A558" s="97" t="s">
        <v>791</v>
      </c>
      <c r="B558" s="67" t="s">
        <v>288</v>
      </c>
      <c r="C558" s="67" t="s">
        <v>134</v>
      </c>
      <c r="D558" s="67" t="s">
        <v>147</v>
      </c>
      <c r="E558" s="67" t="s">
        <v>150</v>
      </c>
      <c r="F558" s="67"/>
      <c r="G558" s="95"/>
      <c r="H558" s="36">
        <f>H559+H562+H565</f>
        <v>19529.1</v>
      </c>
      <c r="I558" s="36">
        <f>I559+I562+I565</f>
        <v>19529.1</v>
      </c>
      <c r="J558" s="96">
        <f t="shared" si="38"/>
        <v>0</v>
      </c>
      <c r="K558" s="36">
        <f>K559+K562+K565</f>
        <v>6150</v>
      </c>
      <c r="L558" s="36">
        <f>L559+L562+L565</f>
        <v>11000</v>
      </c>
    </row>
    <row r="559" spans="1:12" s="4" customFormat="1" ht="120">
      <c r="A559" s="107" t="s">
        <v>503</v>
      </c>
      <c r="B559" s="99" t="s">
        <v>288</v>
      </c>
      <c r="C559" s="99" t="s">
        <v>134</v>
      </c>
      <c r="D559" s="99" t="s">
        <v>147</v>
      </c>
      <c r="E559" s="99" t="s">
        <v>502</v>
      </c>
      <c r="F559" s="99"/>
      <c r="G559" s="100"/>
      <c r="H559" s="74">
        <f>H560</f>
        <v>3700</v>
      </c>
      <c r="I559" s="74">
        <f>I560</f>
        <v>3700</v>
      </c>
      <c r="J559" s="101">
        <f t="shared" si="38"/>
        <v>0</v>
      </c>
      <c r="K559" s="74">
        <f t="shared" si="39"/>
        <v>0</v>
      </c>
      <c r="L559" s="74">
        <f t="shared" si="39"/>
        <v>0</v>
      </c>
    </row>
    <row r="560" spans="1:12" s="4" customFormat="1" ht="33.75" customHeight="1">
      <c r="A560" s="111" t="s">
        <v>694</v>
      </c>
      <c r="B560" s="99" t="s">
        <v>288</v>
      </c>
      <c r="C560" s="99" t="s">
        <v>134</v>
      </c>
      <c r="D560" s="99" t="s">
        <v>147</v>
      </c>
      <c r="E560" s="99" t="s">
        <v>502</v>
      </c>
      <c r="F560" s="99" t="s">
        <v>693</v>
      </c>
      <c r="G560" s="100"/>
      <c r="H560" s="74">
        <f>H561</f>
        <v>3700</v>
      </c>
      <c r="I560" s="74">
        <f>I561</f>
        <v>3700</v>
      </c>
      <c r="J560" s="101">
        <f t="shared" si="38"/>
        <v>0</v>
      </c>
      <c r="K560" s="74">
        <f t="shared" si="39"/>
        <v>0</v>
      </c>
      <c r="L560" s="74">
        <f t="shared" si="39"/>
        <v>0</v>
      </c>
    </row>
    <row r="561" spans="1:12" s="4" customFormat="1" ht="15">
      <c r="A561" s="69" t="s">
        <v>63</v>
      </c>
      <c r="B561" s="99" t="s">
        <v>288</v>
      </c>
      <c r="C561" s="99" t="s">
        <v>134</v>
      </c>
      <c r="D561" s="99" t="s">
        <v>147</v>
      </c>
      <c r="E561" s="99" t="s">
        <v>502</v>
      </c>
      <c r="F561" s="99" t="s">
        <v>693</v>
      </c>
      <c r="G561" s="100" t="s">
        <v>64</v>
      </c>
      <c r="H561" s="74">
        <f>'Пр. 9'!I240</f>
        <v>3700</v>
      </c>
      <c r="I561" s="74">
        <f>'Пр. 9'!J240</f>
        <v>3700</v>
      </c>
      <c r="J561" s="101">
        <f t="shared" si="38"/>
        <v>0</v>
      </c>
      <c r="K561" s="74">
        <f>'Пр. 9'!L240</f>
        <v>0</v>
      </c>
      <c r="L561" s="74">
        <f>'Пр. 9'!M240</f>
        <v>0</v>
      </c>
    </row>
    <row r="562" spans="1:12" s="4" customFormat="1" ht="30">
      <c r="A562" s="109" t="s">
        <v>991</v>
      </c>
      <c r="B562" s="100" t="s">
        <v>288</v>
      </c>
      <c r="C562" s="100" t="s">
        <v>134</v>
      </c>
      <c r="D562" s="99" t="s">
        <v>147</v>
      </c>
      <c r="E562" s="100" t="s">
        <v>989</v>
      </c>
      <c r="F562" s="99"/>
      <c r="G562" s="100"/>
      <c r="H562" s="74">
        <f>H563</f>
        <v>12039.099999999999</v>
      </c>
      <c r="I562" s="74">
        <f>I563</f>
        <v>12039.099999999999</v>
      </c>
      <c r="J562" s="101">
        <f t="shared" si="38"/>
        <v>0</v>
      </c>
      <c r="K562" s="74">
        <f>K563</f>
        <v>6150</v>
      </c>
      <c r="L562" s="74">
        <f>L563</f>
        <v>11000</v>
      </c>
    </row>
    <row r="563" spans="1:12" s="4" customFormat="1" ht="30">
      <c r="A563" s="111" t="s">
        <v>683</v>
      </c>
      <c r="B563" s="100" t="s">
        <v>288</v>
      </c>
      <c r="C563" s="100" t="s">
        <v>134</v>
      </c>
      <c r="D563" s="99" t="s">
        <v>147</v>
      </c>
      <c r="E563" s="100" t="s">
        <v>989</v>
      </c>
      <c r="F563" s="99" t="s">
        <v>682</v>
      </c>
      <c r="G563" s="100"/>
      <c r="H563" s="74">
        <f>H564</f>
        <v>12039.099999999999</v>
      </c>
      <c r="I563" s="74">
        <f>I564</f>
        <v>12039.099999999999</v>
      </c>
      <c r="J563" s="101">
        <f t="shared" si="38"/>
        <v>0</v>
      </c>
      <c r="K563" s="74">
        <f>K564</f>
        <v>6150</v>
      </c>
      <c r="L563" s="74">
        <f>L564</f>
        <v>11000</v>
      </c>
    </row>
    <row r="564" spans="1:12" s="4" customFormat="1" ht="15">
      <c r="A564" s="69" t="s">
        <v>63</v>
      </c>
      <c r="B564" s="100" t="s">
        <v>288</v>
      </c>
      <c r="C564" s="100" t="s">
        <v>134</v>
      </c>
      <c r="D564" s="99" t="s">
        <v>147</v>
      </c>
      <c r="E564" s="100" t="s">
        <v>989</v>
      </c>
      <c r="F564" s="99" t="s">
        <v>682</v>
      </c>
      <c r="G564" s="100" t="s">
        <v>64</v>
      </c>
      <c r="H564" s="74">
        <f>'Пр. 9'!I242</f>
        <v>12039.099999999999</v>
      </c>
      <c r="I564" s="74">
        <f>'Пр. 9'!J242</f>
        <v>12039.099999999999</v>
      </c>
      <c r="J564" s="101">
        <f t="shared" si="38"/>
        <v>0</v>
      </c>
      <c r="K564" s="74">
        <f>'Пр. 9'!L242</f>
        <v>6150</v>
      </c>
      <c r="L564" s="74">
        <f>'Пр. 9'!M242</f>
        <v>11000</v>
      </c>
    </row>
    <row r="565" spans="1:12" s="4" customFormat="1" ht="30">
      <c r="A565" s="109" t="s">
        <v>992</v>
      </c>
      <c r="B565" s="100" t="s">
        <v>288</v>
      </c>
      <c r="C565" s="100" t="s">
        <v>134</v>
      </c>
      <c r="D565" s="99" t="s">
        <v>147</v>
      </c>
      <c r="E565" s="100" t="s">
        <v>990</v>
      </c>
      <c r="F565" s="131"/>
      <c r="G565" s="100"/>
      <c r="H565" s="74">
        <f>H566</f>
        <v>3790</v>
      </c>
      <c r="I565" s="74">
        <f>I566</f>
        <v>3790</v>
      </c>
      <c r="J565" s="101">
        <f t="shared" si="38"/>
        <v>0</v>
      </c>
      <c r="K565" s="74">
        <f>K566</f>
        <v>0</v>
      </c>
      <c r="L565" s="74">
        <f>L566</f>
        <v>0</v>
      </c>
    </row>
    <row r="566" spans="1:12" s="4" customFormat="1" ht="30">
      <c r="A566" s="111" t="s">
        <v>683</v>
      </c>
      <c r="B566" s="100" t="s">
        <v>288</v>
      </c>
      <c r="C566" s="100" t="s">
        <v>134</v>
      </c>
      <c r="D566" s="99" t="s">
        <v>147</v>
      </c>
      <c r="E566" s="100" t="s">
        <v>990</v>
      </c>
      <c r="F566" s="131">
        <v>200</v>
      </c>
      <c r="G566" s="100"/>
      <c r="H566" s="74">
        <f>H567</f>
        <v>3790</v>
      </c>
      <c r="I566" s="74">
        <f>I567</f>
        <v>3790</v>
      </c>
      <c r="J566" s="101">
        <f t="shared" si="38"/>
        <v>0</v>
      </c>
      <c r="K566" s="74">
        <f>K567</f>
        <v>0</v>
      </c>
      <c r="L566" s="74">
        <f>L567</f>
        <v>0</v>
      </c>
    </row>
    <row r="567" spans="1:12" s="4" customFormat="1" ht="15">
      <c r="A567" s="69" t="s">
        <v>63</v>
      </c>
      <c r="B567" s="100" t="s">
        <v>288</v>
      </c>
      <c r="C567" s="100" t="s">
        <v>134</v>
      </c>
      <c r="D567" s="99" t="s">
        <v>147</v>
      </c>
      <c r="E567" s="100" t="s">
        <v>990</v>
      </c>
      <c r="F567" s="131">
        <v>200</v>
      </c>
      <c r="G567" s="100" t="s">
        <v>64</v>
      </c>
      <c r="H567" s="74">
        <f>'Пр. 9'!I244</f>
        <v>3790</v>
      </c>
      <c r="I567" s="74">
        <f>'Пр. 9'!J244</f>
        <v>3790</v>
      </c>
      <c r="J567" s="101">
        <f t="shared" si="38"/>
        <v>0</v>
      </c>
      <c r="K567" s="74">
        <f>'Пр. 9'!L244</f>
        <v>0</v>
      </c>
      <c r="L567" s="74">
        <f>'Пр. 9'!M244</f>
        <v>0</v>
      </c>
    </row>
    <row r="568" spans="1:12" s="4" customFormat="1" ht="44.25" customHeight="1">
      <c r="A568" s="97" t="s">
        <v>792</v>
      </c>
      <c r="B568" s="67" t="s">
        <v>288</v>
      </c>
      <c r="C568" s="67" t="s">
        <v>135</v>
      </c>
      <c r="D568" s="67" t="s">
        <v>149</v>
      </c>
      <c r="E568" s="67" t="s">
        <v>150</v>
      </c>
      <c r="F568" s="67"/>
      <c r="G568" s="95"/>
      <c r="H568" s="36">
        <f>H569</f>
        <v>2420.3</v>
      </c>
      <c r="I568" s="36">
        <f>I569</f>
        <v>2420.3</v>
      </c>
      <c r="J568" s="96">
        <f t="shared" si="38"/>
        <v>0</v>
      </c>
      <c r="K568" s="36">
        <f>K569</f>
        <v>2550.7</v>
      </c>
      <c r="L568" s="36">
        <f>L569</f>
        <v>2553.7</v>
      </c>
    </row>
    <row r="569" spans="1:12" s="4" customFormat="1" ht="57">
      <c r="A569" s="97" t="s">
        <v>793</v>
      </c>
      <c r="B569" s="67" t="s">
        <v>288</v>
      </c>
      <c r="C569" s="67" t="s">
        <v>135</v>
      </c>
      <c r="D569" s="67" t="s">
        <v>147</v>
      </c>
      <c r="E569" s="67" t="s">
        <v>150</v>
      </c>
      <c r="F569" s="67"/>
      <c r="G569" s="95"/>
      <c r="H569" s="36">
        <f>H570+H580+H587+H590+H577</f>
        <v>2420.3</v>
      </c>
      <c r="I569" s="36">
        <f>I570+I580+I587+I590+I577</f>
        <v>2420.3</v>
      </c>
      <c r="J569" s="96">
        <f t="shared" si="38"/>
        <v>0</v>
      </c>
      <c r="K569" s="36">
        <f>K570+K580+K587+K590+K577</f>
        <v>2550.7</v>
      </c>
      <c r="L569" s="36">
        <f>L570+L580+L587+L590+L577</f>
        <v>2553.7</v>
      </c>
    </row>
    <row r="570" spans="1:12" s="4" customFormat="1" ht="15">
      <c r="A570" s="107" t="s">
        <v>294</v>
      </c>
      <c r="B570" s="99" t="s">
        <v>288</v>
      </c>
      <c r="C570" s="99" t="s">
        <v>135</v>
      </c>
      <c r="D570" s="99" t="s">
        <v>147</v>
      </c>
      <c r="E570" s="99" t="s">
        <v>295</v>
      </c>
      <c r="F570" s="99"/>
      <c r="G570" s="100"/>
      <c r="H570" s="74">
        <f>H571+H573+H575</f>
        <v>1635.3</v>
      </c>
      <c r="I570" s="74">
        <f>I571+I573+I575</f>
        <v>1635.3</v>
      </c>
      <c r="J570" s="101">
        <f t="shared" si="38"/>
        <v>0</v>
      </c>
      <c r="K570" s="74">
        <f>K571+K573+K575</f>
        <v>1700.7</v>
      </c>
      <c r="L570" s="74">
        <f>L571+L573+L575</f>
        <v>1768.7</v>
      </c>
    </row>
    <row r="571" spans="1:12" s="4" customFormat="1" ht="60">
      <c r="A571" s="111" t="s">
        <v>680</v>
      </c>
      <c r="B571" s="99" t="s">
        <v>288</v>
      </c>
      <c r="C571" s="99" t="s">
        <v>135</v>
      </c>
      <c r="D571" s="99" t="s">
        <v>147</v>
      </c>
      <c r="E571" s="99" t="s">
        <v>295</v>
      </c>
      <c r="F571" s="99" t="s">
        <v>681</v>
      </c>
      <c r="G571" s="100"/>
      <c r="H571" s="74">
        <f>H572</f>
        <v>1435.3</v>
      </c>
      <c r="I571" s="74">
        <f>I572</f>
        <v>1435.3</v>
      </c>
      <c r="J571" s="101">
        <f t="shared" si="38"/>
        <v>0</v>
      </c>
      <c r="K571" s="74">
        <f>K572</f>
        <v>1500.7</v>
      </c>
      <c r="L571" s="74">
        <f>L572</f>
        <v>1568.7</v>
      </c>
    </row>
    <row r="572" spans="1:12" s="4" customFormat="1" ht="45">
      <c r="A572" s="107" t="s">
        <v>168</v>
      </c>
      <c r="B572" s="99" t="s">
        <v>288</v>
      </c>
      <c r="C572" s="99" t="s">
        <v>135</v>
      </c>
      <c r="D572" s="99" t="s">
        <v>147</v>
      </c>
      <c r="E572" s="99" t="s">
        <v>295</v>
      </c>
      <c r="F572" s="99" t="s">
        <v>681</v>
      </c>
      <c r="G572" s="100" t="s">
        <v>44</v>
      </c>
      <c r="H572" s="74">
        <f>'Пр. 9'!I25</f>
        <v>1435.3</v>
      </c>
      <c r="I572" s="74">
        <f>'Пр. 9'!J25</f>
        <v>1435.3</v>
      </c>
      <c r="J572" s="101">
        <f t="shared" si="38"/>
        <v>0</v>
      </c>
      <c r="K572" s="74">
        <f>'Пр. 9'!L25</f>
        <v>1500.7</v>
      </c>
      <c r="L572" s="74">
        <f>'Пр. 9'!M25</f>
        <v>1568.7</v>
      </c>
    </row>
    <row r="573" spans="1:12" s="4" customFormat="1" ht="30">
      <c r="A573" s="109" t="s">
        <v>683</v>
      </c>
      <c r="B573" s="99" t="s">
        <v>288</v>
      </c>
      <c r="C573" s="99" t="s">
        <v>135</v>
      </c>
      <c r="D573" s="99" t="s">
        <v>147</v>
      </c>
      <c r="E573" s="99" t="s">
        <v>295</v>
      </c>
      <c r="F573" s="99" t="s">
        <v>682</v>
      </c>
      <c r="G573" s="100"/>
      <c r="H573" s="74">
        <f>H574</f>
        <v>200</v>
      </c>
      <c r="I573" s="74">
        <f>I574</f>
        <v>200</v>
      </c>
      <c r="J573" s="101">
        <f t="shared" si="38"/>
        <v>0</v>
      </c>
      <c r="K573" s="74">
        <f>K574</f>
        <v>200</v>
      </c>
      <c r="L573" s="74">
        <f>L574</f>
        <v>200</v>
      </c>
    </row>
    <row r="574" spans="1:12" s="4" customFormat="1" ht="45">
      <c r="A574" s="107" t="s">
        <v>168</v>
      </c>
      <c r="B574" s="99" t="s">
        <v>288</v>
      </c>
      <c r="C574" s="99" t="s">
        <v>135</v>
      </c>
      <c r="D574" s="99" t="s">
        <v>147</v>
      </c>
      <c r="E574" s="99" t="s">
        <v>295</v>
      </c>
      <c r="F574" s="99" t="s">
        <v>682</v>
      </c>
      <c r="G574" s="100" t="s">
        <v>44</v>
      </c>
      <c r="H574" s="74">
        <f>'Пр. 9'!I26</f>
        <v>200</v>
      </c>
      <c r="I574" s="74">
        <f>'Пр. 9'!J26</f>
        <v>200</v>
      </c>
      <c r="J574" s="101">
        <f t="shared" si="38"/>
        <v>0</v>
      </c>
      <c r="K574" s="74">
        <f>'Пр. 9'!L26</f>
        <v>200</v>
      </c>
      <c r="L574" s="74">
        <f>'Пр. 9'!M26</f>
        <v>200</v>
      </c>
    </row>
    <row r="575" spans="1:12" s="4" customFormat="1" ht="15" hidden="1">
      <c r="A575" s="126" t="s">
        <v>684</v>
      </c>
      <c r="B575" s="99" t="s">
        <v>288</v>
      </c>
      <c r="C575" s="99" t="s">
        <v>135</v>
      </c>
      <c r="D575" s="99" t="s">
        <v>147</v>
      </c>
      <c r="E575" s="99" t="s">
        <v>295</v>
      </c>
      <c r="F575" s="99" t="s">
        <v>685</v>
      </c>
      <c r="G575" s="100"/>
      <c r="H575" s="74">
        <f>H576</f>
        <v>0</v>
      </c>
      <c r="I575" s="74">
        <f>I576</f>
        <v>0</v>
      </c>
      <c r="J575" s="101">
        <f t="shared" si="38"/>
        <v>0</v>
      </c>
      <c r="K575" s="74">
        <f>K576</f>
        <v>0</v>
      </c>
      <c r="L575" s="74">
        <f>L576</f>
        <v>0</v>
      </c>
    </row>
    <row r="576" spans="1:12" s="4" customFormat="1" ht="15" hidden="1">
      <c r="A576" s="107" t="s">
        <v>59</v>
      </c>
      <c r="B576" s="99" t="s">
        <v>288</v>
      </c>
      <c r="C576" s="99" t="s">
        <v>135</v>
      </c>
      <c r="D576" s="99" t="s">
        <v>147</v>
      </c>
      <c r="E576" s="99" t="s">
        <v>295</v>
      </c>
      <c r="F576" s="99" t="s">
        <v>685</v>
      </c>
      <c r="G576" s="100" t="s">
        <v>60</v>
      </c>
      <c r="H576" s="74">
        <f>'Пр. 9'!I206</f>
        <v>0</v>
      </c>
      <c r="I576" s="74">
        <f>'Пр. 9'!J206</f>
        <v>0</v>
      </c>
      <c r="J576" s="101">
        <f t="shared" si="38"/>
        <v>0</v>
      </c>
      <c r="K576" s="74">
        <f>'Пр. 9'!L206</f>
        <v>0</v>
      </c>
      <c r="L576" s="74">
        <f>'Пр. 9'!M206</f>
        <v>0</v>
      </c>
    </row>
    <row r="577" spans="1:12" s="4" customFormat="1" ht="45">
      <c r="A577" s="115" t="s">
        <v>1107</v>
      </c>
      <c r="B577" s="21" t="s">
        <v>288</v>
      </c>
      <c r="C577" s="21" t="s">
        <v>135</v>
      </c>
      <c r="D577" s="21" t="s">
        <v>147</v>
      </c>
      <c r="E577" s="21" t="s">
        <v>1108</v>
      </c>
      <c r="F577" s="99"/>
      <c r="G577" s="100"/>
      <c r="H577" s="74">
        <f>H578</f>
        <v>35</v>
      </c>
      <c r="I577" s="74">
        <f>I578</f>
        <v>35</v>
      </c>
      <c r="J577" s="101">
        <f t="shared" si="38"/>
        <v>0</v>
      </c>
      <c r="K577" s="74">
        <f>K578</f>
        <v>60</v>
      </c>
      <c r="L577" s="74">
        <f>L578</f>
        <v>60</v>
      </c>
    </row>
    <row r="578" spans="1:12" s="4" customFormat="1" ht="15">
      <c r="A578" s="115" t="s">
        <v>684</v>
      </c>
      <c r="B578" s="21" t="s">
        <v>288</v>
      </c>
      <c r="C578" s="21" t="s">
        <v>135</v>
      </c>
      <c r="D578" s="21" t="s">
        <v>147</v>
      </c>
      <c r="E578" s="21" t="s">
        <v>1108</v>
      </c>
      <c r="F578" s="99" t="s">
        <v>685</v>
      </c>
      <c r="G578" s="100"/>
      <c r="H578" s="74">
        <f>H579</f>
        <v>35</v>
      </c>
      <c r="I578" s="74">
        <f>I579</f>
        <v>35</v>
      </c>
      <c r="J578" s="101">
        <f t="shared" si="38"/>
        <v>0</v>
      </c>
      <c r="K578" s="74">
        <f>K579</f>
        <v>60</v>
      </c>
      <c r="L578" s="74">
        <f>L579</f>
        <v>60</v>
      </c>
    </row>
    <row r="579" spans="1:12" s="4" customFormat="1" ht="15">
      <c r="A579" s="107" t="s">
        <v>59</v>
      </c>
      <c r="B579" s="21" t="s">
        <v>288</v>
      </c>
      <c r="C579" s="21" t="s">
        <v>135</v>
      </c>
      <c r="D579" s="21" t="s">
        <v>147</v>
      </c>
      <c r="E579" s="21" t="s">
        <v>1108</v>
      </c>
      <c r="F579" s="99" t="s">
        <v>685</v>
      </c>
      <c r="G579" s="100" t="s">
        <v>60</v>
      </c>
      <c r="H579" s="74">
        <f>'Пр. 9'!I196</f>
        <v>35</v>
      </c>
      <c r="I579" s="74">
        <f>'Пр. 9'!J196</f>
        <v>35</v>
      </c>
      <c r="J579" s="101">
        <f t="shared" si="38"/>
        <v>0</v>
      </c>
      <c r="K579" s="74">
        <f>'Пр. 9'!L196</f>
        <v>60</v>
      </c>
      <c r="L579" s="74">
        <f>'Пр. 9'!M196</f>
        <v>60</v>
      </c>
    </row>
    <row r="580" spans="1:12" s="4" customFormat="1" ht="60">
      <c r="A580" s="107" t="s">
        <v>794</v>
      </c>
      <c r="B580" s="99" t="s">
        <v>288</v>
      </c>
      <c r="C580" s="99" t="s">
        <v>135</v>
      </c>
      <c r="D580" s="99" t="s">
        <v>147</v>
      </c>
      <c r="E580" s="99" t="s">
        <v>293</v>
      </c>
      <c r="F580" s="99"/>
      <c r="G580" s="100"/>
      <c r="H580" s="74">
        <f>H581+H583+H585</f>
        <v>510</v>
      </c>
      <c r="I580" s="74">
        <f>I581+I583+I585</f>
        <v>510</v>
      </c>
      <c r="J580" s="101">
        <f t="shared" si="38"/>
        <v>0</v>
      </c>
      <c r="K580" s="74">
        <f>K581+K583+K585</f>
        <v>550</v>
      </c>
      <c r="L580" s="74">
        <f>L581+L583+L585</f>
        <v>485</v>
      </c>
    </row>
    <row r="581" spans="1:12" s="4" customFormat="1" ht="30">
      <c r="A581" s="109" t="s">
        <v>683</v>
      </c>
      <c r="B581" s="99" t="s">
        <v>288</v>
      </c>
      <c r="C581" s="99" t="s">
        <v>135</v>
      </c>
      <c r="D581" s="99" t="s">
        <v>147</v>
      </c>
      <c r="E581" s="99" t="s">
        <v>293</v>
      </c>
      <c r="F581" s="99" t="s">
        <v>682</v>
      </c>
      <c r="G581" s="100"/>
      <c r="H581" s="74">
        <f>H582</f>
        <v>480</v>
      </c>
      <c r="I581" s="74">
        <f>I582</f>
        <v>480</v>
      </c>
      <c r="J581" s="101">
        <f t="shared" si="38"/>
        <v>0</v>
      </c>
      <c r="K581" s="74">
        <f>K582</f>
        <v>490</v>
      </c>
      <c r="L581" s="74">
        <f>L582</f>
        <v>455</v>
      </c>
    </row>
    <row r="582" spans="1:12" s="5" customFormat="1" ht="15">
      <c r="A582" s="107" t="s">
        <v>59</v>
      </c>
      <c r="B582" s="99" t="s">
        <v>288</v>
      </c>
      <c r="C582" s="99" t="s">
        <v>135</v>
      </c>
      <c r="D582" s="99" t="s">
        <v>147</v>
      </c>
      <c r="E582" s="99" t="s">
        <v>293</v>
      </c>
      <c r="F582" s="99" t="s">
        <v>682</v>
      </c>
      <c r="G582" s="100" t="s">
        <v>60</v>
      </c>
      <c r="H582" s="74">
        <f>'Пр. 9'!I198</f>
        <v>480</v>
      </c>
      <c r="I582" s="74">
        <f>'Пр. 9'!J198</f>
        <v>480</v>
      </c>
      <c r="J582" s="101">
        <f t="shared" si="38"/>
        <v>0</v>
      </c>
      <c r="K582" s="74">
        <f>'Пр. 9'!L198</f>
        <v>490</v>
      </c>
      <c r="L582" s="74">
        <f>'Пр. 9'!M198</f>
        <v>455</v>
      </c>
    </row>
    <row r="583" spans="1:12" s="5" customFormat="1" ht="15">
      <c r="A583" s="111" t="s">
        <v>687</v>
      </c>
      <c r="B583" s="99" t="s">
        <v>288</v>
      </c>
      <c r="C583" s="99" t="s">
        <v>135</v>
      </c>
      <c r="D583" s="99" t="s">
        <v>147</v>
      </c>
      <c r="E583" s="99" t="s">
        <v>293</v>
      </c>
      <c r="F583" s="99" t="s">
        <v>686</v>
      </c>
      <c r="G583" s="100"/>
      <c r="H583" s="74">
        <f>H584</f>
        <v>30</v>
      </c>
      <c r="I583" s="74">
        <f>I584</f>
        <v>30</v>
      </c>
      <c r="J583" s="101">
        <f t="shared" si="38"/>
        <v>0</v>
      </c>
      <c r="K583" s="74">
        <f>K584</f>
        <v>60</v>
      </c>
      <c r="L583" s="74">
        <f>L584</f>
        <v>30</v>
      </c>
    </row>
    <row r="584" spans="1:12" s="5" customFormat="1" ht="15">
      <c r="A584" s="107" t="s">
        <v>59</v>
      </c>
      <c r="B584" s="99" t="s">
        <v>288</v>
      </c>
      <c r="C584" s="99" t="s">
        <v>135</v>
      </c>
      <c r="D584" s="99" t="s">
        <v>147</v>
      </c>
      <c r="E584" s="99" t="s">
        <v>293</v>
      </c>
      <c r="F584" s="99" t="s">
        <v>686</v>
      </c>
      <c r="G584" s="100" t="s">
        <v>60</v>
      </c>
      <c r="H584" s="74">
        <f>'Пр. 9'!I199</f>
        <v>30</v>
      </c>
      <c r="I584" s="74">
        <f>'Пр. 9'!J199</f>
        <v>30</v>
      </c>
      <c r="J584" s="101">
        <f t="shared" si="38"/>
        <v>0</v>
      </c>
      <c r="K584" s="74">
        <f>'Пр. 9'!L199</f>
        <v>60</v>
      </c>
      <c r="L584" s="74">
        <f>'Пр. 9'!M199</f>
        <v>30</v>
      </c>
    </row>
    <row r="585" spans="1:12" s="5" customFormat="1" ht="15" hidden="1">
      <c r="A585" s="115" t="s">
        <v>684</v>
      </c>
      <c r="B585" s="99" t="s">
        <v>288</v>
      </c>
      <c r="C585" s="99" t="s">
        <v>135</v>
      </c>
      <c r="D585" s="99" t="s">
        <v>147</v>
      </c>
      <c r="E585" s="99" t="s">
        <v>293</v>
      </c>
      <c r="F585" s="99" t="s">
        <v>685</v>
      </c>
      <c r="G585" s="100"/>
      <c r="H585" s="74">
        <f>H586</f>
        <v>0</v>
      </c>
      <c r="I585" s="74">
        <f>I586</f>
        <v>0</v>
      </c>
      <c r="J585" s="101">
        <f t="shared" si="38"/>
        <v>0</v>
      </c>
      <c r="K585" s="74">
        <f>K586</f>
        <v>0</v>
      </c>
      <c r="L585" s="74">
        <f>L586</f>
        <v>0</v>
      </c>
    </row>
    <row r="586" spans="1:12" s="5" customFormat="1" ht="15" hidden="1">
      <c r="A586" s="107" t="s">
        <v>59</v>
      </c>
      <c r="B586" s="99" t="s">
        <v>288</v>
      </c>
      <c r="C586" s="99" t="s">
        <v>135</v>
      </c>
      <c r="D586" s="99" t="s">
        <v>147</v>
      </c>
      <c r="E586" s="99" t="s">
        <v>293</v>
      </c>
      <c r="F586" s="99" t="s">
        <v>685</v>
      </c>
      <c r="G586" s="100" t="s">
        <v>60</v>
      </c>
      <c r="H586" s="74">
        <f>'Пр. 9'!I200</f>
        <v>0</v>
      </c>
      <c r="I586" s="74">
        <f>'Пр. 9'!J200</f>
        <v>0</v>
      </c>
      <c r="J586" s="101">
        <f t="shared" si="38"/>
        <v>0</v>
      </c>
      <c r="K586" s="74">
        <f>'Пр. 9'!L200</f>
        <v>0</v>
      </c>
      <c r="L586" s="74">
        <f>'Пр. 9'!M200</f>
        <v>0</v>
      </c>
    </row>
    <row r="587" spans="1:12" s="4" customFormat="1" ht="30" hidden="1">
      <c r="A587" s="107" t="s">
        <v>795</v>
      </c>
      <c r="B587" s="99" t="s">
        <v>288</v>
      </c>
      <c r="C587" s="99" t="s">
        <v>135</v>
      </c>
      <c r="D587" s="99" t="s">
        <v>147</v>
      </c>
      <c r="E587" s="99" t="s">
        <v>815</v>
      </c>
      <c r="F587" s="99"/>
      <c r="G587" s="100"/>
      <c r="H587" s="74">
        <f>H588</f>
        <v>0</v>
      </c>
      <c r="I587" s="74">
        <f>I588</f>
        <v>0</v>
      </c>
      <c r="J587" s="96">
        <f t="shared" si="38"/>
        <v>0</v>
      </c>
      <c r="K587" s="74">
        <f>K588</f>
        <v>0</v>
      </c>
      <c r="L587" s="74">
        <f>L588</f>
        <v>0</v>
      </c>
    </row>
    <row r="588" spans="1:12" s="4" customFormat="1" ht="30" hidden="1">
      <c r="A588" s="109" t="s">
        <v>683</v>
      </c>
      <c r="B588" s="99" t="s">
        <v>288</v>
      </c>
      <c r="C588" s="99" t="s">
        <v>135</v>
      </c>
      <c r="D588" s="99" t="s">
        <v>147</v>
      </c>
      <c r="E588" s="99" t="s">
        <v>815</v>
      </c>
      <c r="F588" s="99" t="s">
        <v>682</v>
      </c>
      <c r="G588" s="100"/>
      <c r="H588" s="74">
        <f>H589</f>
        <v>0</v>
      </c>
      <c r="I588" s="74">
        <f>I589</f>
        <v>0</v>
      </c>
      <c r="J588" s="96">
        <f t="shared" si="38"/>
        <v>0</v>
      </c>
      <c r="K588" s="74">
        <f>K589</f>
        <v>0</v>
      </c>
      <c r="L588" s="74">
        <f>L589</f>
        <v>0</v>
      </c>
    </row>
    <row r="589" spans="1:12" s="4" customFormat="1" ht="15" hidden="1">
      <c r="A589" s="107" t="s">
        <v>59</v>
      </c>
      <c r="B589" s="99" t="s">
        <v>288</v>
      </c>
      <c r="C589" s="99" t="s">
        <v>135</v>
      </c>
      <c r="D589" s="99" t="s">
        <v>147</v>
      </c>
      <c r="E589" s="99" t="s">
        <v>815</v>
      </c>
      <c r="F589" s="99" t="s">
        <v>682</v>
      </c>
      <c r="G589" s="100" t="s">
        <v>60</v>
      </c>
      <c r="H589" s="74">
        <f>'Пр. 9'!I202</f>
        <v>0</v>
      </c>
      <c r="I589" s="74">
        <f>'Пр. 9'!J202</f>
        <v>0</v>
      </c>
      <c r="J589" s="96">
        <f t="shared" si="38"/>
        <v>0</v>
      </c>
      <c r="K589" s="74">
        <f>'Пр. 9'!L202</f>
        <v>0</v>
      </c>
      <c r="L589" s="74">
        <f>'Пр. 9'!M202</f>
        <v>0</v>
      </c>
    </row>
    <row r="590" spans="1:12" s="4" customFormat="1" ht="60">
      <c r="A590" s="115" t="s">
        <v>1047</v>
      </c>
      <c r="B590" s="99" t="s">
        <v>288</v>
      </c>
      <c r="C590" s="99" t="s">
        <v>135</v>
      </c>
      <c r="D590" s="99" t="s">
        <v>147</v>
      </c>
      <c r="E590" s="99" t="s">
        <v>1046</v>
      </c>
      <c r="F590" s="99"/>
      <c r="G590" s="100"/>
      <c r="H590" s="74">
        <f aca="true" t="shared" si="40" ref="H590:L591">H591</f>
        <v>240</v>
      </c>
      <c r="I590" s="74">
        <f t="shared" si="40"/>
        <v>240</v>
      </c>
      <c r="J590" s="101">
        <f t="shared" si="38"/>
        <v>0</v>
      </c>
      <c r="K590" s="74">
        <f t="shared" si="40"/>
        <v>240</v>
      </c>
      <c r="L590" s="74">
        <f t="shared" si="40"/>
        <v>240</v>
      </c>
    </row>
    <row r="591" spans="1:12" s="4" customFormat="1" ht="30">
      <c r="A591" s="111" t="s">
        <v>683</v>
      </c>
      <c r="B591" s="99" t="s">
        <v>288</v>
      </c>
      <c r="C591" s="99" t="s">
        <v>135</v>
      </c>
      <c r="D591" s="99" t="s">
        <v>147</v>
      </c>
      <c r="E591" s="99" t="s">
        <v>1046</v>
      </c>
      <c r="F591" s="99" t="s">
        <v>691</v>
      </c>
      <c r="G591" s="100"/>
      <c r="H591" s="74">
        <f t="shared" si="40"/>
        <v>240</v>
      </c>
      <c r="I591" s="74">
        <f t="shared" si="40"/>
        <v>240</v>
      </c>
      <c r="J591" s="101">
        <f t="shared" si="38"/>
        <v>0</v>
      </c>
      <c r="K591" s="74">
        <f t="shared" si="40"/>
        <v>240</v>
      </c>
      <c r="L591" s="74">
        <f t="shared" si="40"/>
        <v>240</v>
      </c>
    </row>
    <row r="592" spans="1:12" s="4" customFormat="1" ht="15">
      <c r="A592" s="107" t="s">
        <v>59</v>
      </c>
      <c r="B592" s="99" t="s">
        <v>288</v>
      </c>
      <c r="C592" s="99" t="s">
        <v>135</v>
      </c>
      <c r="D592" s="99" t="s">
        <v>147</v>
      </c>
      <c r="E592" s="99" t="s">
        <v>1046</v>
      </c>
      <c r="F592" s="99" t="s">
        <v>691</v>
      </c>
      <c r="G592" s="100" t="s">
        <v>60</v>
      </c>
      <c r="H592" s="74">
        <f>'Пр. 9'!I204</f>
        <v>240</v>
      </c>
      <c r="I592" s="74">
        <f>'Пр. 9'!J204</f>
        <v>240</v>
      </c>
      <c r="J592" s="101">
        <f t="shared" si="38"/>
        <v>0</v>
      </c>
      <c r="K592" s="74">
        <f>'Пр. 9'!L204</f>
        <v>240</v>
      </c>
      <c r="L592" s="74">
        <f>'Пр. 9'!M204</f>
        <v>240</v>
      </c>
    </row>
    <row r="593" spans="1:12" s="5" customFormat="1" ht="42.75">
      <c r="A593" s="110" t="s">
        <v>331</v>
      </c>
      <c r="B593" s="67" t="s">
        <v>300</v>
      </c>
      <c r="C593" s="67" t="s">
        <v>148</v>
      </c>
      <c r="D593" s="67" t="s">
        <v>149</v>
      </c>
      <c r="E593" s="67" t="s">
        <v>150</v>
      </c>
      <c r="F593" s="67"/>
      <c r="G593" s="95"/>
      <c r="H593" s="36">
        <f>H608+H629+H594</f>
        <v>23225.9</v>
      </c>
      <c r="I593" s="36">
        <f>I608+I629+I594</f>
        <v>23032.9</v>
      </c>
      <c r="J593" s="96">
        <f t="shared" si="38"/>
        <v>-193</v>
      </c>
      <c r="K593" s="36">
        <f>K608+K629+K594</f>
        <v>19710.100000000002</v>
      </c>
      <c r="L593" s="36">
        <f>L608+L629+L594</f>
        <v>3764.6000000000004</v>
      </c>
    </row>
    <row r="594" spans="1:12" s="5" customFormat="1" ht="71.25">
      <c r="A594" s="127" t="s">
        <v>880</v>
      </c>
      <c r="B594" s="67" t="s">
        <v>300</v>
      </c>
      <c r="C594" s="67" t="s">
        <v>131</v>
      </c>
      <c r="D594" s="67" t="s">
        <v>149</v>
      </c>
      <c r="E594" s="67" t="s">
        <v>150</v>
      </c>
      <c r="F594" s="67"/>
      <c r="G594" s="95"/>
      <c r="H594" s="36">
        <f>H595</f>
        <v>21631.7</v>
      </c>
      <c r="I594" s="36">
        <f>I595</f>
        <v>21438.7</v>
      </c>
      <c r="J594" s="96">
        <f t="shared" si="38"/>
        <v>-193</v>
      </c>
      <c r="K594" s="36">
        <f>K595</f>
        <v>18099.7</v>
      </c>
      <c r="L594" s="36">
        <f>L595</f>
        <v>2140.5</v>
      </c>
    </row>
    <row r="595" spans="1:12" s="5" customFormat="1" ht="28.5">
      <c r="A595" s="127" t="s">
        <v>842</v>
      </c>
      <c r="B595" s="67" t="s">
        <v>300</v>
      </c>
      <c r="C595" s="67" t="s">
        <v>131</v>
      </c>
      <c r="D595" s="67" t="s">
        <v>288</v>
      </c>
      <c r="E595" s="67" t="s">
        <v>150</v>
      </c>
      <c r="F595" s="67"/>
      <c r="G595" s="95"/>
      <c r="H595" s="36">
        <f>H596+H599+H605+H602</f>
        <v>21631.7</v>
      </c>
      <c r="I595" s="36">
        <f>I596+I599+I605+I602</f>
        <v>21438.7</v>
      </c>
      <c r="J595" s="96">
        <f t="shared" si="38"/>
        <v>-193</v>
      </c>
      <c r="K595" s="36">
        <f>K596+K599+K605+K602</f>
        <v>18099.7</v>
      </c>
      <c r="L595" s="36">
        <f>L596+L599+L605+L602</f>
        <v>2140.5</v>
      </c>
    </row>
    <row r="596" spans="1:12" s="5" customFormat="1" ht="30">
      <c r="A596" s="109" t="s">
        <v>843</v>
      </c>
      <c r="B596" s="99" t="s">
        <v>300</v>
      </c>
      <c r="C596" s="99" t="s">
        <v>131</v>
      </c>
      <c r="D596" s="99" t="s">
        <v>288</v>
      </c>
      <c r="E596" s="99" t="s">
        <v>454</v>
      </c>
      <c r="F596" s="99"/>
      <c r="G596" s="100"/>
      <c r="H596" s="74">
        <f>H597</f>
        <v>4000</v>
      </c>
      <c r="I596" s="74">
        <f>I597</f>
        <v>4000</v>
      </c>
      <c r="J596" s="101">
        <f t="shared" si="38"/>
        <v>0</v>
      </c>
      <c r="K596" s="74">
        <f>K597</f>
        <v>3000</v>
      </c>
      <c r="L596" s="74">
        <f>L597</f>
        <v>0</v>
      </c>
    </row>
    <row r="597" spans="1:12" s="5" customFormat="1" ht="30">
      <c r="A597" s="109" t="s">
        <v>683</v>
      </c>
      <c r="B597" s="99" t="s">
        <v>300</v>
      </c>
      <c r="C597" s="99" t="s">
        <v>131</v>
      </c>
      <c r="D597" s="99" t="s">
        <v>288</v>
      </c>
      <c r="E597" s="99" t="s">
        <v>454</v>
      </c>
      <c r="F597" s="99" t="s">
        <v>682</v>
      </c>
      <c r="G597" s="100"/>
      <c r="H597" s="74">
        <f>H598</f>
        <v>4000</v>
      </c>
      <c r="I597" s="74">
        <f>I598</f>
        <v>4000</v>
      </c>
      <c r="J597" s="101">
        <f t="shared" si="38"/>
        <v>0</v>
      </c>
      <c r="K597" s="74">
        <f>K598</f>
        <v>3000</v>
      </c>
      <c r="L597" s="74">
        <f>L598</f>
        <v>0</v>
      </c>
    </row>
    <row r="598" spans="1:12" s="5" customFormat="1" ht="15">
      <c r="A598" s="69" t="s">
        <v>67</v>
      </c>
      <c r="B598" s="99" t="s">
        <v>300</v>
      </c>
      <c r="C598" s="99" t="s">
        <v>131</v>
      </c>
      <c r="D598" s="99" t="s">
        <v>288</v>
      </c>
      <c r="E598" s="99" t="s">
        <v>454</v>
      </c>
      <c r="F598" s="99" t="s">
        <v>682</v>
      </c>
      <c r="G598" s="100" t="s">
        <v>68</v>
      </c>
      <c r="H598" s="74">
        <f>'Пр. 9'!I255</f>
        <v>4000</v>
      </c>
      <c r="I598" s="74">
        <f>'Пр. 9'!J255</f>
        <v>4000</v>
      </c>
      <c r="J598" s="101">
        <f t="shared" si="38"/>
        <v>0</v>
      </c>
      <c r="K598" s="74">
        <f>'Пр. 9'!L255</f>
        <v>3000</v>
      </c>
      <c r="L598" s="74">
        <f>'Пр. 9'!M255</f>
        <v>0</v>
      </c>
    </row>
    <row r="599" spans="1:12" s="5" customFormat="1" ht="30.75" customHeight="1">
      <c r="A599" s="109" t="s">
        <v>844</v>
      </c>
      <c r="B599" s="99" t="s">
        <v>300</v>
      </c>
      <c r="C599" s="99" t="s">
        <v>131</v>
      </c>
      <c r="D599" s="99" t="s">
        <v>288</v>
      </c>
      <c r="E599" s="99" t="s">
        <v>704</v>
      </c>
      <c r="F599" s="99"/>
      <c r="G599" s="100"/>
      <c r="H599" s="74">
        <f>H600</f>
        <v>1500</v>
      </c>
      <c r="I599" s="74">
        <f>I600</f>
        <v>1500</v>
      </c>
      <c r="J599" s="101">
        <f t="shared" si="38"/>
        <v>0</v>
      </c>
      <c r="K599" s="74">
        <f>K600</f>
        <v>1500</v>
      </c>
      <c r="L599" s="74">
        <f>L600</f>
        <v>2000</v>
      </c>
    </row>
    <row r="600" spans="1:12" s="5" customFormat="1" ht="30">
      <c r="A600" s="109" t="s">
        <v>683</v>
      </c>
      <c r="B600" s="99" t="s">
        <v>300</v>
      </c>
      <c r="C600" s="99" t="s">
        <v>131</v>
      </c>
      <c r="D600" s="99" t="s">
        <v>288</v>
      </c>
      <c r="E600" s="99" t="s">
        <v>704</v>
      </c>
      <c r="F600" s="99" t="s">
        <v>682</v>
      </c>
      <c r="G600" s="100"/>
      <c r="H600" s="74">
        <f>H601</f>
        <v>1500</v>
      </c>
      <c r="I600" s="74">
        <f>I601</f>
        <v>1500</v>
      </c>
      <c r="J600" s="101">
        <f t="shared" si="38"/>
        <v>0</v>
      </c>
      <c r="K600" s="74">
        <f>K601</f>
        <v>1500</v>
      </c>
      <c r="L600" s="74">
        <f>L601</f>
        <v>2000</v>
      </c>
    </row>
    <row r="601" spans="1:12" s="5" customFormat="1" ht="15">
      <c r="A601" s="69" t="s">
        <v>67</v>
      </c>
      <c r="B601" s="99" t="s">
        <v>300</v>
      </c>
      <c r="C601" s="99" t="s">
        <v>131</v>
      </c>
      <c r="D601" s="99" t="s">
        <v>288</v>
      </c>
      <c r="E601" s="99" t="s">
        <v>704</v>
      </c>
      <c r="F601" s="99" t="s">
        <v>682</v>
      </c>
      <c r="G601" s="100" t="s">
        <v>68</v>
      </c>
      <c r="H601" s="74">
        <f>'Пр. 9'!I257</f>
        <v>1500</v>
      </c>
      <c r="I601" s="74">
        <f>'Пр. 9'!J257</f>
        <v>1500</v>
      </c>
      <c r="J601" s="101">
        <f t="shared" si="38"/>
        <v>0</v>
      </c>
      <c r="K601" s="74">
        <f>'Пр. 9'!L257</f>
        <v>1500</v>
      </c>
      <c r="L601" s="74">
        <f>'Пр. 9'!M257</f>
        <v>2000</v>
      </c>
    </row>
    <row r="602" spans="1:12" s="5" customFormat="1" ht="45">
      <c r="A602" s="109" t="s">
        <v>1045</v>
      </c>
      <c r="B602" s="99" t="s">
        <v>300</v>
      </c>
      <c r="C602" s="99" t="s">
        <v>131</v>
      </c>
      <c r="D602" s="99" t="s">
        <v>288</v>
      </c>
      <c r="E602" s="99" t="s">
        <v>1044</v>
      </c>
      <c r="F602" s="99"/>
      <c r="G602" s="100"/>
      <c r="H602" s="74">
        <f aca="true" t="shared" si="41" ref="H602:L603">H603</f>
        <v>13491.7</v>
      </c>
      <c r="I602" s="74">
        <f t="shared" si="41"/>
        <v>13491.7</v>
      </c>
      <c r="J602" s="101">
        <f t="shared" si="38"/>
        <v>0</v>
      </c>
      <c r="K602" s="74">
        <f t="shared" si="41"/>
        <v>13491.7</v>
      </c>
      <c r="L602" s="74">
        <f t="shared" si="41"/>
        <v>0</v>
      </c>
    </row>
    <row r="603" spans="1:12" s="5" customFormat="1" ht="30">
      <c r="A603" s="109" t="s">
        <v>683</v>
      </c>
      <c r="B603" s="99" t="s">
        <v>300</v>
      </c>
      <c r="C603" s="99" t="s">
        <v>131</v>
      </c>
      <c r="D603" s="99" t="s">
        <v>288</v>
      </c>
      <c r="E603" s="99" t="s">
        <v>1044</v>
      </c>
      <c r="F603" s="99" t="s">
        <v>682</v>
      </c>
      <c r="G603" s="100"/>
      <c r="H603" s="74">
        <f t="shared" si="41"/>
        <v>13491.7</v>
      </c>
      <c r="I603" s="74">
        <f t="shared" si="41"/>
        <v>13491.7</v>
      </c>
      <c r="J603" s="101">
        <f t="shared" si="38"/>
        <v>0</v>
      </c>
      <c r="K603" s="74">
        <f t="shared" si="41"/>
        <v>13491.7</v>
      </c>
      <c r="L603" s="74">
        <f t="shared" si="41"/>
        <v>0</v>
      </c>
    </row>
    <row r="604" spans="1:12" s="5" customFormat="1" ht="15">
      <c r="A604" s="69" t="s">
        <v>67</v>
      </c>
      <c r="B604" s="99" t="s">
        <v>300</v>
      </c>
      <c r="C604" s="99" t="s">
        <v>131</v>
      </c>
      <c r="D604" s="99" t="s">
        <v>288</v>
      </c>
      <c r="E604" s="99" t="s">
        <v>1044</v>
      </c>
      <c r="F604" s="99" t="s">
        <v>682</v>
      </c>
      <c r="G604" s="100" t="s">
        <v>68</v>
      </c>
      <c r="H604" s="74">
        <f>'Пр. 9'!I259</f>
        <v>13491.7</v>
      </c>
      <c r="I604" s="74">
        <f>'Пр. 9'!J259</f>
        <v>13491.7</v>
      </c>
      <c r="J604" s="101">
        <f t="shared" si="38"/>
        <v>0</v>
      </c>
      <c r="K604" s="74">
        <f>'Пр. 9'!L259</f>
        <v>13491.7</v>
      </c>
      <c r="L604" s="74">
        <f>'Пр. 9'!M259</f>
        <v>0</v>
      </c>
    </row>
    <row r="605" spans="1:12" s="5" customFormat="1" ht="15">
      <c r="A605" s="111" t="s">
        <v>1041</v>
      </c>
      <c r="B605" s="100" t="s">
        <v>300</v>
      </c>
      <c r="C605" s="100" t="s">
        <v>131</v>
      </c>
      <c r="D605" s="100" t="s">
        <v>288</v>
      </c>
      <c r="E605" s="100" t="s">
        <v>1042</v>
      </c>
      <c r="F605" s="117"/>
      <c r="G605" s="100"/>
      <c r="H605" s="74">
        <f aca="true" t="shared" si="42" ref="H605:L606">H606</f>
        <v>2640</v>
      </c>
      <c r="I605" s="74">
        <f t="shared" si="42"/>
        <v>2447</v>
      </c>
      <c r="J605" s="101">
        <f t="shared" si="38"/>
        <v>-193</v>
      </c>
      <c r="K605" s="74">
        <f t="shared" si="42"/>
        <v>108</v>
      </c>
      <c r="L605" s="74">
        <f t="shared" si="42"/>
        <v>140.5</v>
      </c>
    </row>
    <row r="606" spans="1:12" s="5" customFormat="1" ht="30">
      <c r="A606" s="111" t="s">
        <v>683</v>
      </c>
      <c r="B606" s="100" t="s">
        <v>300</v>
      </c>
      <c r="C606" s="100" t="s">
        <v>131</v>
      </c>
      <c r="D606" s="100" t="s">
        <v>288</v>
      </c>
      <c r="E606" s="100" t="s">
        <v>1042</v>
      </c>
      <c r="F606" s="117">
        <v>200</v>
      </c>
      <c r="G606" s="100"/>
      <c r="H606" s="74">
        <f t="shared" si="42"/>
        <v>2640</v>
      </c>
      <c r="I606" s="74">
        <f t="shared" si="42"/>
        <v>2447</v>
      </c>
      <c r="J606" s="101">
        <f t="shared" si="38"/>
        <v>-193</v>
      </c>
      <c r="K606" s="74">
        <f t="shared" si="42"/>
        <v>108</v>
      </c>
      <c r="L606" s="74">
        <f t="shared" si="42"/>
        <v>140.5</v>
      </c>
    </row>
    <row r="607" spans="1:12" s="5" customFormat="1" ht="15">
      <c r="A607" s="69" t="s">
        <v>67</v>
      </c>
      <c r="B607" s="100" t="s">
        <v>300</v>
      </c>
      <c r="C607" s="100" t="s">
        <v>131</v>
      </c>
      <c r="D607" s="100" t="s">
        <v>288</v>
      </c>
      <c r="E607" s="100" t="s">
        <v>1042</v>
      </c>
      <c r="F607" s="117">
        <v>200</v>
      </c>
      <c r="G607" s="100" t="s">
        <v>68</v>
      </c>
      <c r="H607" s="74">
        <f>'Пр. 9'!I758</f>
        <v>2640</v>
      </c>
      <c r="I607" s="74">
        <f>'Пр. 9'!J758</f>
        <v>2447</v>
      </c>
      <c r="J607" s="101">
        <f t="shared" si="38"/>
        <v>-193</v>
      </c>
      <c r="K607" s="74">
        <f>'Пр. 9'!L758</f>
        <v>108</v>
      </c>
      <c r="L607" s="74">
        <f>'Пр. 9'!M758</f>
        <v>140.5</v>
      </c>
    </row>
    <row r="608" spans="1:12" s="5" customFormat="1" ht="42.75">
      <c r="A608" s="97" t="s">
        <v>777</v>
      </c>
      <c r="B608" s="67" t="s">
        <v>300</v>
      </c>
      <c r="C608" s="67" t="s">
        <v>134</v>
      </c>
      <c r="D608" s="67" t="s">
        <v>149</v>
      </c>
      <c r="E608" s="67" t="s">
        <v>150</v>
      </c>
      <c r="F608" s="67"/>
      <c r="G608" s="95"/>
      <c r="H608" s="36">
        <f>H609</f>
        <v>1510.4</v>
      </c>
      <c r="I608" s="36">
        <f>I609</f>
        <v>1510.4</v>
      </c>
      <c r="J608" s="96">
        <f t="shared" si="38"/>
        <v>0</v>
      </c>
      <c r="K608" s="36">
        <f>K609</f>
        <v>1525.5</v>
      </c>
      <c r="L608" s="36">
        <f>L609</f>
        <v>1539.2</v>
      </c>
    </row>
    <row r="609" spans="1:12" s="5" customFormat="1" ht="28.5">
      <c r="A609" s="97" t="s">
        <v>778</v>
      </c>
      <c r="B609" s="67" t="s">
        <v>300</v>
      </c>
      <c r="C609" s="67" t="s">
        <v>134</v>
      </c>
      <c r="D609" s="67" t="s">
        <v>147</v>
      </c>
      <c r="E609" s="67" t="s">
        <v>150</v>
      </c>
      <c r="F609" s="67"/>
      <c r="G609" s="95"/>
      <c r="H609" s="36">
        <f>H610+H620+H614+H623+H626</f>
        <v>1510.4</v>
      </c>
      <c r="I609" s="36">
        <f>I610+I620+I614+I623+I626</f>
        <v>1510.4</v>
      </c>
      <c r="J609" s="96">
        <f t="shared" si="38"/>
        <v>0</v>
      </c>
      <c r="K609" s="36">
        <f>K610+K620+K614+K623+K626</f>
        <v>1525.5</v>
      </c>
      <c r="L609" s="36">
        <f>L610+L620+L614+L623+L626</f>
        <v>1539.2</v>
      </c>
    </row>
    <row r="610" spans="1:12" s="5" customFormat="1" ht="30">
      <c r="A610" s="102" t="s">
        <v>779</v>
      </c>
      <c r="B610" s="99" t="s">
        <v>300</v>
      </c>
      <c r="C610" s="99" t="s">
        <v>134</v>
      </c>
      <c r="D610" s="99" t="s">
        <v>147</v>
      </c>
      <c r="E610" s="100" t="s">
        <v>342</v>
      </c>
      <c r="F610" s="99"/>
      <c r="G610" s="100"/>
      <c r="H610" s="74">
        <f>H611</f>
        <v>446.8</v>
      </c>
      <c r="I610" s="74">
        <f>I611</f>
        <v>446.8</v>
      </c>
      <c r="J610" s="101">
        <f t="shared" si="38"/>
        <v>0</v>
      </c>
      <c r="K610" s="74">
        <f>K611</f>
        <v>453.7</v>
      </c>
      <c r="L610" s="74">
        <f>L611</f>
        <v>456.6</v>
      </c>
    </row>
    <row r="611" spans="1:12" s="5" customFormat="1" ht="30">
      <c r="A611" s="102" t="s">
        <v>683</v>
      </c>
      <c r="B611" s="99" t="s">
        <v>300</v>
      </c>
      <c r="C611" s="99" t="s">
        <v>134</v>
      </c>
      <c r="D611" s="99" t="s">
        <v>147</v>
      </c>
      <c r="E611" s="100" t="s">
        <v>342</v>
      </c>
      <c r="F611" s="99" t="s">
        <v>682</v>
      </c>
      <c r="G611" s="100"/>
      <c r="H611" s="74">
        <f>H612</f>
        <v>446.8</v>
      </c>
      <c r="I611" s="74">
        <f>I612</f>
        <v>446.8</v>
      </c>
      <c r="J611" s="101">
        <f t="shared" si="38"/>
        <v>0</v>
      </c>
      <c r="K611" s="74">
        <f>K612</f>
        <v>453.7</v>
      </c>
      <c r="L611" s="74">
        <f>L612</f>
        <v>456.6</v>
      </c>
    </row>
    <row r="612" spans="1:12" s="5" customFormat="1" ht="15">
      <c r="A612" s="102" t="s">
        <v>51</v>
      </c>
      <c r="B612" s="99" t="s">
        <v>300</v>
      </c>
      <c r="C612" s="99" t="s">
        <v>134</v>
      </c>
      <c r="D612" s="99" t="s">
        <v>147</v>
      </c>
      <c r="E612" s="100" t="s">
        <v>342</v>
      </c>
      <c r="F612" s="99" t="s">
        <v>682</v>
      </c>
      <c r="G612" s="100" t="s">
        <v>52</v>
      </c>
      <c r="H612" s="74">
        <f>'Пр. 9'!I76+'Пр. 9'!I626+'Пр. 9'!I791+'Пр. 9'!I812+'Пр. 9'!I1105</f>
        <v>446.8</v>
      </c>
      <c r="I612" s="74">
        <f>'Пр. 9'!J76+'Пр. 9'!J626+'Пр. 9'!J791+'Пр. 9'!J812+'Пр. 9'!J1105</f>
        <v>446.8</v>
      </c>
      <c r="J612" s="101">
        <f t="shared" si="38"/>
        <v>0</v>
      </c>
      <c r="K612" s="74">
        <f>'Пр. 9'!L76+'Пр. 9'!L626+'Пр. 9'!L791+'Пр. 9'!L812+'Пр. 9'!L1105</f>
        <v>453.7</v>
      </c>
      <c r="L612" s="74">
        <f>'Пр. 9'!M76+'Пр. 9'!M626+'Пр. 9'!M791+'Пр. 9'!M812+'Пр. 9'!M1105</f>
        <v>456.6</v>
      </c>
    </row>
    <row r="613" spans="1:12" s="5" customFormat="1" ht="30">
      <c r="A613" s="107" t="s">
        <v>343</v>
      </c>
      <c r="B613" s="99" t="s">
        <v>300</v>
      </c>
      <c r="C613" s="99" t="s">
        <v>134</v>
      </c>
      <c r="D613" s="99" t="s">
        <v>147</v>
      </c>
      <c r="E613" s="99" t="s">
        <v>344</v>
      </c>
      <c r="F613" s="99"/>
      <c r="G613" s="100"/>
      <c r="H613" s="74">
        <f>H614</f>
        <v>633.6</v>
      </c>
      <c r="I613" s="74">
        <f>I614</f>
        <v>633.6</v>
      </c>
      <c r="J613" s="101">
        <f t="shared" si="38"/>
        <v>0</v>
      </c>
      <c r="K613" s="74">
        <f>K614</f>
        <v>701.8</v>
      </c>
      <c r="L613" s="74">
        <f>L614</f>
        <v>712.6</v>
      </c>
    </row>
    <row r="614" spans="1:12" s="5" customFormat="1" ht="30">
      <c r="A614" s="102" t="s">
        <v>683</v>
      </c>
      <c r="B614" s="99" t="s">
        <v>300</v>
      </c>
      <c r="C614" s="99" t="s">
        <v>134</v>
      </c>
      <c r="D614" s="99" t="s">
        <v>147</v>
      </c>
      <c r="E614" s="99" t="s">
        <v>344</v>
      </c>
      <c r="F614" s="99" t="s">
        <v>682</v>
      </c>
      <c r="G614" s="100"/>
      <c r="H614" s="74">
        <f>H615+H616+H617+H618+H619</f>
        <v>633.6</v>
      </c>
      <c r="I614" s="74">
        <f>I615+I616+I617+I618+I619</f>
        <v>633.6</v>
      </c>
      <c r="J614" s="101">
        <f t="shared" si="38"/>
        <v>0</v>
      </c>
      <c r="K614" s="74">
        <f>K615+K616+K617+K618+K619</f>
        <v>701.8</v>
      </c>
      <c r="L614" s="74">
        <f>L615+L616+L617+L618+L619</f>
        <v>712.6</v>
      </c>
    </row>
    <row r="615" spans="1:12" s="5" customFormat="1" ht="45">
      <c r="A615" s="89" t="s">
        <v>41</v>
      </c>
      <c r="B615" s="99" t="s">
        <v>300</v>
      </c>
      <c r="C615" s="99" t="s">
        <v>134</v>
      </c>
      <c r="D615" s="99" t="s">
        <v>147</v>
      </c>
      <c r="E615" s="99">
        <v>10380</v>
      </c>
      <c r="F615" s="99" t="s">
        <v>682</v>
      </c>
      <c r="G615" s="100" t="s">
        <v>42</v>
      </c>
      <c r="H615" s="74">
        <f>'Пр. 9'!I776</f>
        <v>19.7</v>
      </c>
      <c r="I615" s="74">
        <f>'Пр. 9'!J776</f>
        <v>19.7</v>
      </c>
      <c r="J615" s="101">
        <f t="shared" si="38"/>
        <v>0</v>
      </c>
      <c r="K615" s="74">
        <f>'Пр. 9'!L776</f>
        <v>20.4</v>
      </c>
      <c r="L615" s="74">
        <f>'Пр. 9'!M776</f>
        <v>21.2</v>
      </c>
    </row>
    <row r="616" spans="1:12" s="5" customFormat="1" ht="45">
      <c r="A616" s="89" t="s">
        <v>43</v>
      </c>
      <c r="B616" s="99" t="s">
        <v>300</v>
      </c>
      <c r="C616" s="99" t="s">
        <v>134</v>
      </c>
      <c r="D616" s="99" t="s">
        <v>147</v>
      </c>
      <c r="E616" s="99">
        <v>10380</v>
      </c>
      <c r="F616" s="99" t="s">
        <v>682</v>
      </c>
      <c r="G616" s="100" t="s">
        <v>44</v>
      </c>
      <c r="H616" s="74">
        <f>'Пр. 9'!I31</f>
        <v>384</v>
      </c>
      <c r="I616" s="74">
        <f>'Пр. 9'!J31</f>
        <v>384</v>
      </c>
      <c r="J616" s="101">
        <f t="shared" si="38"/>
        <v>0</v>
      </c>
      <c r="K616" s="74">
        <f>'Пр. 9'!L31</f>
        <v>450</v>
      </c>
      <c r="L616" s="74">
        <f>'Пр. 9'!M31</f>
        <v>450</v>
      </c>
    </row>
    <row r="617" spans="1:12" s="5" customFormat="1" ht="30">
      <c r="A617" s="70" t="s">
        <v>47</v>
      </c>
      <c r="B617" s="99" t="s">
        <v>300</v>
      </c>
      <c r="C617" s="99" t="s">
        <v>134</v>
      </c>
      <c r="D617" s="99" t="s">
        <v>147</v>
      </c>
      <c r="E617" s="99">
        <v>10380</v>
      </c>
      <c r="F617" s="99" t="s">
        <v>682</v>
      </c>
      <c r="G617" s="100" t="s">
        <v>48</v>
      </c>
      <c r="H617" s="74">
        <f>'Пр. 9'!I601+'Пр. 9'!I1084</f>
        <v>117.5</v>
      </c>
      <c r="I617" s="74">
        <f>'Пр. 9'!J601+'Пр. 9'!J1084</f>
        <v>117.5</v>
      </c>
      <c r="J617" s="101">
        <f t="shared" si="38"/>
        <v>0</v>
      </c>
      <c r="K617" s="74">
        <f>'Пр. 9'!L601+'Пр. 9'!L1084</f>
        <v>119</v>
      </c>
      <c r="L617" s="74">
        <f>'Пр. 9'!M601+'Пр. 9'!M1084</f>
        <v>129</v>
      </c>
    </row>
    <row r="618" spans="1:12" s="5" customFormat="1" ht="15">
      <c r="A618" s="102" t="s">
        <v>51</v>
      </c>
      <c r="B618" s="99" t="s">
        <v>300</v>
      </c>
      <c r="C618" s="99" t="s">
        <v>134</v>
      </c>
      <c r="D618" s="99" t="s">
        <v>147</v>
      </c>
      <c r="E618" s="99">
        <v>10380</v>
      </c>
      <c r="F618" s="99" t="s">
        <v>682</v>
      </c>
      <c r="G618" s="100" t="s">
        <v>52</v>
      </c>
      <c r="H618" s="74">
        <f>'Пр. 9'!I721</f>
        <v>62.4</v>
      </c>
      <c r="I618" s="74">
        <f>'Пр. 9'!J721</f>
        <v>62.4</v>
      </c>
      <c r="J618" s="101">
        <f t="shared" si="38"/>
        <v>0</v>
      </c>
      <c r="K618" s="74">
        <f>'Пр. 9'!L721</f>
        <v>62.4</v>
      </c>
      <c r="L618" s="74">
        <f>'Пр. 9'!M721</f>
        <v>62.4</v>
      </c>
    </row>
    <row r="619" spans="1:12" s="5" customFormat="1" ht="15">
      <c r="A619" s="88" t="s">
        <v>95</v>
      </c>
      <c r="B619" s="99" t="s">
        <v>300</v>
      </c>
      <c r="C619" s="99" t="s">
        <v>134</v>
      </c>
      <c r="D619" s="99" t="s">
        <v>147</v>
      </c>
      <c r="E619" s="99">
        <v>10380</v>
      </c>
      <c r="F619" s="99" t="s">
        <v>682</v>
      </c>
      <c r="G619" s="100" t="s">
        <v>96</v>
      </c>
      <c r="H619" s="74">
        <f>'Пр. 9'!I835</f>
        <v>50</v>
      </c>
      <c r="I619" s="74">
        <f>'Пр. 9'!J835</f>
        <v>50</v>
      </c>
      <c r="J619" s="101">
        <f t="shared" si="38"/>
        <v>0</v>
      </c>
      <c r="K619" s="74">
        <f>'Пр. 9'!L835</f>
        <v>50</v>
      </c>
      <c r="L619" s="74">
        <f>'Пр. 9'!M835</f>
        <v>50</v>
      </c>
    </row>
    <row r="620" spans="1:12" s="5" customFormat="1" ht="45">
      <c r="A620" s="102" t="s">
        <v>780</v>
      </c>
      <c r="B620" s="99" t="s">
        <v>300</v>
      </c>
      <c r="C620" s="99" t="s">
        <v>134</v>
      </c>
      <c r="D620" s="99" t="s">
        <v>147</v>
      </c>
      <c r="E620" s="100" t="s">
        <v>816</v>
      </c>
      <c r="F620" s="99"/>
      <c r="G620" s="100"/>
      <c r="H620" s="74">
        <f>H621</f>
        <v>70</v>
      </c>
      <c r="I620" s="74">
        <f>I621</f>
        <v>70</v>
      </c>
      <c r="J620" s="101">
        <f t="shared" si="38"/>
        <v>0</v>
      </c>
      <c r="K620" s="74">
        <f>K621</f>
        <v>100</v>
      </c>
      <c r="L620" s="74">
        <f>L621</f>
        <v>100</v>
      </c>
    </row>
    <row r="621" spans="1:12" s="5" customFormat="1" ht="30">
      <c r="A621" s="102" t="s">
        <v>683</v>
      </c>
      <c r="B621" s="99" t="s">
        <v>300</v>
      </c>
      <c r="C621" s="99" t="s">
        <v>134</v>
      </c>
      <c r="D621" s="99" t="s">
        <v>147</v>
      </c>
      <c r="E621" s="100" t="s">
        <v>816</v>
      </c>
      <c r="F621" s="99" t="s">
        <v>682</v>
      </c>
      <c r="G621" s="100"/>
      <c r="H621" s="74">
        <f>H622</f>
        <v>70</v>
      </c>
      <c r="I621" s="74">
        <f>I622</f>
        <v>70</v>
      </c>
      <c r="J621" s="101">
        <f aca="true" t="shared" si="43" ref="J621:J684">I621-H621</f>
        <v>0</v>
      </c>
      <c r="K621" s="74">
        <f>K622</f>
        <v>100</v>
      </c>
      <c r="L621" s="74">
        <f>L622</f>
        <v>100</v>
      </c>
    </row>
    <row r="622" spans="1:12" s="5" customFormat="1" ht="15">
      <c r="A622" s="102" t="s">
        <v>51</v>
      </c>
      <c r="B622" s="99" t="s">
        <v>300</v>
      </c>
      <c r="C622" s="99" t="s">
        <v>134</v>
      </c>
      <c r="D622" s="99" t="s">
        <v>147</v>
      </c>
      <c r="E622" s="100" t="s">
        <v>816</v>
      </c>
      <c r="F622" s="99" t="s">
        <v>682</v>
      </c>
      <c r="G622" s="100" t="s">
        <v>52</v>
      </c>
      <c r="H622" s="74">
        <f>'Пр. 9'!I78</f>
        <v>70</v>
      </c>
      <c r="I622" s="74">
        <f>'Пр. 9'!J78</f>
        <v>70</v>
      </c>
      <c r="J622" s="101">
        <f t="shared" si="43"/>
        <v>0</v>
      </c>
      <c r="K622" s="74">
        <f>'Пр. 9'!L78</f>
        <v>100</v>
      </c>
      <c r="L622" s="74">
        <f>'Пр. 9'!M78</f>
        <v>100</v>
      </c>
    </row>
    <row r="623" spans="1:12" s="5" customFormat="1" ht="30">
      <c r="A623" s="102" t="s">
        <v>781</v>
      </c>
      <c r="B623" s="99" t="s">
        <v>300</v>
      </c>
      <c r="C623" s="99" t="s">
        <v>134</v>
      </c>
      <c r="D623" s="99" t="s">
        <v>147</v>
      </c>
      <c r="E623" s="100" t="s">
        <v>817</v>
      </c>
      <c r="F623" s="99"/>
      <c r="G623" s="100"/>
      <c r="H623" s="74">
        <f>H624</f>
        <v>200</v>
      </c>
      <c r="I623" s="74">
        <f>I624</f>
        <v>200</v>
      </c>
      <c r="J623" s="101">
        <f t="shared" si="43"/>
        <v>0</v>
      </c>
      <c r="K623" s="74">
        <f>K624</f>
        <v>100</v>
      </c>
      <c r="L623" s="74">
        <f>L624</f>
        <v>100</v>
      </c>
    </row>
    <row r="624" spans="1:12" s="5" customFormat="1" ht="30">
      <c r="A624" s="102" t="s">
        <v>683</v>
      </c>
      <c r="B624" s="99" t="s">
        <v>300</v>
      </c>
      <c r="C624" s="99" t="s">
        <v>134</v>
      </c>
      <c r="D624" s="99" t="s">
        <v>147</v>
      </c>
      <c r="E624" s="100" t="s">
        <v>817</v>
      </c>
      <c r="F624" s="99" t="s">
        <v>682</v>
      </c>
      <c r="G624" s="100"/>
      <c r="H624" s="74">
        <f>H625</f>
        <v>200</v>
      </c>
      <c r="I624" s="74">
        <f>I625</f>
        <v>200</v>
      </c>
      <c r="J624" s="101">
        <f t="shared" si="43"/>
        <v>0</v>
      </c>
      <c r="K624" s="74">
        <f>K625</f>
        <v>100</v>
      </c>
      <c r="L624" s="74">
        <f>L625</f>
        <v>100</v>
      </c>
    </row>
    <row r="625" spans="1:12" s="5" customFormat="1" ht="15">
      <c r="A625" s="102" t="s">
        <v>51</v>
      </c>
      <c r="B625" s="99" t="s">
        <v>300</v>
      </c>
      <c r="C625" s="99" t="s">
        <v>134</v>
      </c>
      <c r="D625" s="99" t="s">
        <v>147</v>
      </c>
      <c r="E625" s="100" t="s">
        <v>817</v>
      </c>
      <c r="F625" s="99" t="s">
        <v>682</v>
      </c>
      <c r="G625" s="100" t="s">
        <v>52</v>
      </c>
      <c r="H625" s="74">
        <f>'Пр. 9'!I80</f>
        <v>200</v>
      </c>
      <c r="I625" s="74">
        <f>'Пр. 9'!J80</f>
        <v>200</v>
      </c>
      <c r="J625" s="101">
        <f t="shared" si="43"/>
        <v>0</v>
      </c>
      <c r="K625" s="74">
        <f>'Пр. 9'!L80</f>
        <v>100</v>
      </c>
      <c r="L625" s="74">
        <f>'Пр. 9'!M80</f>
        <v>100</v>
      </c>
    </row>
    <row r="626" spans="1:12" s="5" customFormat="1" ht="30">
      <c r="A626" s="102" t="s">
        <v>782</v>
      </c>
      <c r="B626" s="99" t="s">
        <v>300</v>
      </c>
      <c r="C626" s="99" t="s">
        <v>134</v>
      </c>
      <c r="D626" s="99" t="s">
        <v>147</v>
      </c>
      <c r="E626" s="100" t="s">
        <v>818</v>
      </c>
      <c r="F626" s="99"/>
      <c r="G626" s="100"/>
      <c r="H626" s="74">
        <f>H627</f>
        <v>160</v>
      </c>
      <c r="I626" s="74">
        <f>I627</f>
        <v>160</v>
      </c>
      <c r="J626" s="101">
        <f t="shared" si="43"/>
        <v>0</v>
      </c>
      <c r="K626" s="74">
        <f>K627</f>
        <v>170</v>
      </c>
      <c r="L626" s="74">
        <f>L627</f>
        <v>170</v>
      </c>
    </row>
    <row r="627" spans="1:12" s="5" customFormat="1" ht="30">
      <c r="A627" s="102" t="s">
        <v>683</v>
      </c>
      <c r="B627" s="99" t="s">
        <v>300</v>
      </c>
      <c r="C627" s="99" t="s">
        <v>134</v>
      </c>
      <c r="D627" s="99" t="s">
        <v>147</v>
      </c>
      <c r="E627" s="100" t="s">
        <v>818</v>
      </c>
      <c r="F627" s="99" t="s">
        <v>682</v>
      </c>
      <c r="G627" s="100"/>
      <c r="H627" s="74">
        <f>H628</f>
        <v>160</v>
      </c>
      <c r="I627" s="74">
        <f>I628</f>
        <v>160</v>
      </c>
      <c r="J627" s="101">
        <f t="shared" si="43"/>
        <v>0</v>
      </c>
      <c r="K627" s="74">
        <f>K628</f>
        <v>170</v>
      </c>
      <c r="L627" s="74">
        <f>L628</f>
        <v>170</v>
      </c>
    </row>
    <row r="628" spans="1:12" s="5" customFormat="1" ht="15">
      <c r="A628" s="102" t="s">
        <v>51</v>
      </c>
      <c r="B628" s="99" t="s">
        <v>300</v>
      </c>
      <c r="C628" s="99" t="s">
        <v>134</v>
      </c>
      <c r="D628" s="99" t="s">
        <v>147</v>
      </c>
      <c r="E628" s="100" t="s">
        <v>818</v>
      </c>
      <c r="F628" s="99" t="s">
        <v>682</v>
      </c>
      <c r="G628" s="100" t="s">
        <v>52</v>
      </c>
      <c r="H628" s="74">
        <f>'Пр. 9'!I82</f>
        <v>160</v>
      </c>
      <c r="I628" s="74">
        <f>'Пр. 9'!J82</f>
        <v>160</v>
      </c>
      <c r="J628" s="101">
        <f t="shared" si="43"/>
        <v>0</v>
      </c>
      <c r="K628" s="74">
        <f>'Пр. 9'!L82</f>
        <v>170</v>
      </c>
      <c r="L628" s="74">
        <f>'Пр. 9'!M82</f>
        <v>170</v>
      </c>
    </row>
    <row r="629" spans="1:12" s="5" customFormat="1" ht="28.5">
      <c r="A629" s="116" t="s">
        <v>824</v>
      </c>
      <c r="B629" s="67" t="s">
        <v>300</v>
      </c>
      <c r="C629" s="67" t="s">
        <v>135</v>
      </c>
      <c r="D629" s="67" t="s">
        <v>149</v>
      </c>
      <c r="E629" s="95" t="s">
        <v>150</v>
      </c>
      <c r="F629" s="67"/>
      <c r="G629" s="95"/>
      <c r="H629" s="36">
        <f aca="true" t="shared" si="44" ref="H629:I632">H630</f>
        <v>83.8</v>
      </c>
      <c r="I629" s="36">
        <f t="shared" si="44"/>
        <v>83.8</v>
      </c>
      <c r="J629" s="96">
        <f t="shared" si="43"/>
        <v>0</v>
      </c>
      <c r="K629" s="36">
        <f aca="true" t="shared" si="45" ref="K629:L632">K630</f>
        <v>84.9</v>
      </c>
      <c r="L629" s="36">
        <f t="shared" si="45"/>
        <v>84.9</v>
      </c>
    </row>
    <row r="630" spans="1:12" s="5" customFormat="1" ht="42.75">
      <c r="A630" s="116" t="s">
        <v>825</v>
      </c>
      <c r="B630" s="67" t="s">
        <v>300</v>
      </c>
      <c r="C630" s="67" t="s">
        <v>135</v>
      </c>
      <c r="D630" s="67" t="s">
        <v>147</v>
      </c>
      <c r="E630" s="95" t="s">
        <v>150</v>
      </c>
      <c r="F630" s="67"/>
      <c r="G630" s="95"/>
      <c r="H630" s="36">
        <f t="shared" si="44"/>
        <v>83.8</v>
      </c>
      <c r="I630" s="36">
        <f t="shared" si="44"/>
        <v>83.8</v>
      </c>
      <c r="J630" s="96">
        <f t="shared" si="43"/>
        <v>0</v>
      </c>
      <c r="K630" s="36">
        <f t="shared" si="45"/>
        <v>84.9</v>
      </c>
      <c r="L630" s="36">
        <f t="shared" si="45"/>
        <v>84.9</v>
      </c>
    </row>
    <row r="631" spans="1:12" s="4" customFormat="1" ht="30">
      <c r="A631" s="102" t="s">
        <v>339</v>
      </c>
      <c r="B631" s="99" t="s">
        <v>300</v>
      </c>
      <c r="C631" s="99" t="s">
        <v>135</v>
      </c>
      <c r="D631" s="99" t="s">
        <v>147</v>
      </c>
      <c r="E631" s="100" t="s">
        <v>340</v>
      </c>
      <c r="F631" s="99"/>
      <c r="G631" s="100"/>
      <c r="H631" s="74">
        <f t="shared" si="44"/>
        <v>83.8</v>
      </c>
      <c r="I631" s="74">
        <f t="shared" si="44"/>
        <v>83.8</v>
      </c>
      <c r="J631" s="101">
        <f t="shared" si="43"/>
        <v>0</v>
      </c>
      <c r="K631" s="74">
        <f t="shared" si="45"/>
        <v>84.9</v>
      </c>
      <c r="L631" s="74">
        <f t="shared" si="45"/>
        <v>84.9</v>
      </c>
    </row>
    <row r="632" spans="1:12" s="4" customFormat="1" ht="30">
      <c r="A632" s="102" t="s">
        <v>683</v>
      </c>
      <c r="B632" s="99" t="s">
        <v>300</v>
      </c>
      <c r="C632" s="99" t="s">
        <v>135</v>
      </c>
      <c r="D632" s="99" t="s">
        <v>147</v>
      </c>
      <c r="E632" s="100" t="s">
        <v>340</v>
      </c>
      <c r="F632" s="99" t="s">
        <v>682</v>
      </c>
      <c r="G632" s="100"/>
      <c r="H632" s="74">
        <f t="shared" si="44"/>
        <v>83.8</v>
      </c>
      <c r="I632" s="74">
        <f t="shared" si="44"/>
        <v>83.8</v>
      </c>
      <c r="J632" s="101">
        <f t="shared" si="43"/>
        <v>0</v>
      </c>
      <c r="K632" s="74">
        <f t="shared" si="45"/>
        <v>84.9</v>
      </c>
      <c r="L632" s="74">
        <f t="shared" si="45"/>
        <v>84.9</v>
      </c>
    </row>
    <row r="633" spans="1:12" s="4" customFormat="1" ht="15">
      <c r="A633" s="102" t="s">
        <v>67</v>
      </c>
      <c r="B633" s="99" t="s">
        <v>300</v>
      </c>
      <c r="C633" s="99" t="s">
        <v>135</v>
      </c>
      <c r="D633" s="99" t="s">
        <v>147</v>
      </c>
      <c r="E633" s="100" t="s">
        <v>340</v>
      </c>
      <c r="F633" s="99" t="s">
        <v>682</v>
      </c>
      <c r="G633" s="100" t="s">
        <v>68</v>
      </c>
      <c r="H633" s="74">
        <f>'Пр. 9'!I263</f>
        <v>83.8</v>
      </c>
      <c r="I633" s="74">
        <f>'Пр. 9'!J263</f>
        <v>83.8</v>
      </c>
      <c r="J633" s="101">
        <f t="shared" si="43"/>
        <v>0</v>
      </c>
      <c r="K633" s="74">
        <f>'Пр. 9'!L263</f>
        <v>84.9</v>
      </c>
      <c r="L633" s="74">
        <f>'Пр. 9'!M263</f>
        <v>84.9</v>
      </c>
    </row>
    <row r="634" spans="1:12" s="5" customFormat="1" ht="57">
      <c r="A634" s="116" t="s">
        <v>983</v>
      </c>
      <c r="B634" s="67" t="s">
        <v>332</v>
      </c>
      <c r="C634" s="67" t="s">
        <v>148</v>
      </c>
      <c r="D634" s="67" t="s">
        <v>149</v>
      </c>
      <c r="E634" s="95" t="s">
        <v>150</v>
      </c>
      <c r="F634" s="67"/>
      <c r="G634" s="95"/>
      <c r="H634" s="36">
        <f>H635+H639+H646+H653+H657</f>
        <v>3735.1000000000004</v>
      </c>
      <c r="I634" s="36">
        <f>I635+I639+I646+I653+I657</f>
        <v>3735.1000000000004</v>
      </c>
      <c r="J634" s="96">
        <f t="shared" si="43"/>
        <v>0</v>
      </c>
      <c r="K634" s="36">
        <f>K635+K639+K646+K653+K657</f>
        <v>2989.5</v>
      </c>
      <c r="L634" s="36">
        <f>L635+L639+L646+L653+L657</f>
        <v>902.7</v>
      </c>
    </row>
    <row r="635" spans="1:12" s="5" customFormat="1" ht="28.5">
      <c r="A635" s="116" t="s">
        <v>802</v>
      </c>
      <c r="B635" s="67" t="s">
        <v>332</v>
      </c>
      <c r="C635" s="67" t="s">
        <v>148</v>
      </c>
      <c r="D635" s="67" t="s">
        <v>147</v>
      </c>
      <c r="E635" s="95" t="s">
        <v>150</v>
      </c>
      <c r="F635" s="67"/>
      <c r="G635" s="95"/>
      <c r="H635" s="36">
        <f aca="true" t="shared" si="46" ref="H635:I637">H636</f>
        <v>1948.6</v>
      </c>
      <c r="I635" s="36">
        <f t="shared" si="46"/>
        <v>1948.6</v>
      </c>
      <c r="J635" s="96">
        <f t="shared" si="43"/>
        <v>0</v>
      </c>
      <c r="K635" s="36">
        <f aca="true" t="shared" si="47" ref="K635:L637">K636</f>
        <v>2065</v>
      </c>
      <c r="L635" s="36">
        <f t="shared" si="47"/>
        <v>250</v>
      </c>
    </row>
    <row r="636" spans="1:12" s="4" customFormat="1" ht="75">
      <c r="A636" s="102" t="s">
        <v>1103</v>
      </c>
      <c r="B636" s="99" t="s">
        <v>332</v>
      </c>
      <c r="C636" s="99" t="s">
        <v>148</v>
      </c>
      <c r="D636" s="99" t="s">
        <v>147</v>
      </c>
      <c r="E636" s="99" t="s">
        <v>520</v>
      </c>
      <c r="F636" s="99"/>
      <c r="G636" s="100"/>
      <c r="H636" s="74">
        <f t="shared" si="46"/>
        <v>1948.6</v>
      </c>
      <c r="I636" s="74">
        <f t="shared" si="46"/>
        <v>1948.6</v>
      </c>
      <c r="J636" s="101">
        <f t="shared" si="43"/>
        <v>0</v>
      </c>
      <c r="K636" s="74">
        <f t="shared" si="47"/>
        <v>2065</v>
      </c>
      <c r="L636" s="74">
        <f t="shared" si="47"/>
        <v>250</v>
      </c>
    </row>
    <row r="637" spans="1:12" s="5" customFormat="1" ht="15">
      <c r="A637" s="102" t="s">
        <v>684</v>
      </c>
      <c r="B637" s="99" t="s">
        <v>332</v>
      </c>
      <c r="C637" s="99" t="s">
        <v>148</v>
      </c>
      <c r="D637" s="99" t="s">
        <v>147</v>
      </c>
      <c r="E637" s="99" t="s">
        <v>520</v>
      </c>
      <c r="F637" s="99" t="s">
        <v>685</v>
      </c>
      <c r="G637" s="100"/>
      <c r="H637" s="74">
        <f t="shared" si="46"/>
        <v>1948.6</v>
      </c>
      <c r="I637" s="74">
        <f t="shared" si="46"/>
        <v>1948.6</v>
      </c>
      <c r="J637" s="101">
        <f t="shared" si="43"/>
        <v>0</v>
      </c>
      <c r="K637" s="74">
        <f t="shared" si="47"/>
        <v>2065</v>
      </c>
      <c r="L637" s="74">
        <f t="shared" si="47"/>
        <v>250</v>
      </c>
    </row>
    <row r="638" spans="1:12" s="5" customFormat="1" ht="15">
      <c r="A638" s="102" t="s">
        <v>67</v>
      </c>
      <c r="B638" s="99" t="s">
        <v>332</v>
      </c>
      <c r="C638" s="99" t="s">
        <v>148</v>
      </c>
      <c r="D638" s="99" t="s">
        <v>147</v>
      </c>
      <c r="E638" s="99" t="s">
        <v>520</v>
      </c>
      <c r="F638" s="99" t="s">
        <v>685</v>
      </c>
      <c r="G638" s="100" t="s">
        <v>68</v>
      </c>
      <c r="H638" s="74">
        <f>'Пр. 9'!I267</f>
        <v>1948.6</v>
      </c>
      <c r="I638" s="74">
        <f>'Пр. 9'!J267</f>
        <v>1948.6</v>
      </c>
      <c r="J638" s="101">
        <f t="shared" si="43"/>
        <v>0</v>
      </c>
      <c r="K638" s="74">
        <f>'Пр. 9'!L267</f>
        <v>2065</v>
      </c>
      <c r="L638" s="74">
        <f>'Пр. 9'!M267</f>
        <v>250</v>
      </c>
    </row>
    <row r="639" spans="1:12" s="5" customFormat="1" ht="36" customHeight="1">
      <c r="A639" s="116" t="s">
        <v>803</v>
      </c>
      <c r="B639" s="67" t="s">
        <v>332</v>
      </c>
      <c r="C639" s="67" t="s">
        <v>148</v>
      </c>
      <c r="D639" s="67" t="s">
        <v>160</v>
      </c>
      <c r="E639" s="67" t="s">
        <v>150</v>
      </c>
      <c r="F639" s="67"/>
      <c r="G639" s="95"/>
      <c r="H639" s="36">
        <f>H640+H643</f>
        <v>286.3</v>
      </c>
      <c r="I639" s="36">
        <f>I640+I643</f>
        <v>286.3</v>
      </c>
      <c r="J639" s="96">
        <f t="shared" si="43"/>
        <v>0</v>
      </c>
      <c r="K639" s="36">
        <f>K640+K643</f>
        <v>300</v>
      </c>
      <c r="L639" s="36">
        <f>L640+L643</f>
        <v>300</v>
      </c>
    </row>
    <row r="640" spans="1:12" s="5" customFormat="1" ht="30">
      <c r="A640" s="111" t="s">
        <v>820</v>
      </c>
      <c r="B640" s="99" t="s">
        <v>332</v>
      </c>
      <c r="C640" s="99" t="s">
        <v>148</v>
      </c>
      <c r="D640" s="99" t="s">
        <v>160</v>
      </c>
      <c r="E640" s="99" t="s">
        <v>335</v>
      </c>
      <c r="F640" s="99"/>
      <c r="G640" s="100"/>
      <c r="H640" s="74">
        <f>H641</f>
        <v>143</v>
      </c>
      <c r="I640" s="74">
        <f>I641</f>
        <v>143</v>
      </c>
      <c r="J640" s="101">
        <f t="shared" si="43"/>
        <v>0</v>
      </c>
      <c r="K640" s="74">
        <f>K641</f>
        <v>150</v>
      </c>
      <c r="L640" s="74">
        <f>L641</f>
        <v>150</v>
      </c>
    </row>
    <row r="641" spans="1:12" s="5" customFormat="1" ht="30">
      <c r="A641" s="115" t="s">
        <v>688</v>
      </c>
      <c r="B641" s="99" t="s">
        <v>332</v>
      </c>
      <c r="C641" s="99" t="s">
        <v>148</v>
      </c>
      <c r="D641" s="99" t="s">
        <v>160</v>
      </c>
      <c r="E641" s="99" t="s">
        <v>335</v>
      </c>
      <c r="F641" s="99" t="s">
        <v>689</v>
      </c>
      <c r="G641" s="100"/>
      <c r="H641" s="74">
        <f>H642</f>
        <v>143</v>
      </c>
      <c r="I641" s="74">
        <f>I642</f>
        <v>143</v>
      </c>
      <c r="J641" s="101">
        <f t="shared" si="43"/>
        <v>0</v>
      </c>
      <c r="K641" s="74">
        <f>K642</f>
        <v>150</v>
      </c>
      <c r="L641" s="74">
        <f>L642</f>
        <v>150</v>
      </c>
    </row>
    <row r="642" spans="1:12" s="5" customFormat="1" ht="15">
      <c r="A642" s="102" t="s">
        <v>67</v>
      </c>
      <c r="B642" s="99" t="s">
        <v>332</v>
      </c>
      <c r="C642" s="99" t="s">
        <v>148</v>
      </c>
      <c r="D642" s="99" t="s">
        <v>160</v>
      </c>
      <c r="E642" s="99" t="s">
        <v>335</v>
      </c>
      <c r="F642" s="99" t="s">
        <v>689</v>
      </c>
      <c r="G642" s="100" t="s">
        <v>68</v>
      </c>
      <c r="H642" s="74">
        <f>'Пр. 9'!I270</f>
        <v>143</v>
      </c>
      <c r="I642" s="74">
        <f>'Пр. 9'!J270</f>
        <v>143</v>
      </c>
      <c r="J642" s="101">
        <f t="shared" si="43"/>
        <v>0</v>
      </c>
      <c r="K642" s="74">
        <f>'Пр. 9'!L270</f>
        <v>150</v>
      </c>
      <c r="L642" s="74">
        <f>'Пр. 9'!M270</f>
        <v>150</v>
      </c>
    </row>
    <row r="643" spans="1:12" s="5" customFormat="1" ht="90">
      <c r="A643" s="115" t="s">
        <v>977</v>
      </c>
      <c r="B643" s="99" t="s">
        <v>332</v>
      </c>
      <c r="C643" s="99" t="s">
        <v>148</v>
      </c>
      <c r="D643" s="99" t="s">
        <v>160</v>
      </c>
      <c r="E643" s="99" t="s">
        <v>978</v>
      </c>
      <c r="F643" s="99"/>
      <c r="G643" s="100"/>
      <c r="H643" s="74">
        <f>H644</f>
        <v>143.3</v>
      </c>
      <c r="I643" s="74">
        <f>I644</f>
        <v>143.3</v>
      </c>
      <c r="J643" s="101">
        <f t="shared" si="43"/>
        <v>0</v>
      </c>
      <c r="K643" s="74">
        <f>K644</f>
        <v>150</v>
      </c>
      <c r="L643" s="74">
        <f>L644</f>
        <v>150</v>
      </c>
    </row>
    <row r="644" spans="1:12" s="5" customFormat="1" ht="30">
      <c r="A644" s="115" t="s">
        <v>688</v>
      </c>
      <c r="B644" s="99" t="s">
        <v>332</v>
      </c>
      <c r="C644" s="99" t="s">
        <v>148</v>
      </c>
      <c r="D644" s="99" t="s">
        <v>160</v>
      </c>
      <c r="E644" s="99" t="s">
        <v>978</v>
      </c>
      <c r="F644" s="99" t="s">
        <v>689</v>
      </c>
      <c r="G644" s="100"/>
      <c r="H644" s="74">
        <f>H645</f>
        <v>143.3</v>
      </c>
      <c r="I644" s="74">
        <f>I645</f>
        <v>143.3</v>
      </c>
      <c r="J644" s="101">
        <f t="shared" si="43"/>
        <v>0</v>
      </c>
      <c r="K644" s="74">
        <f>K645</f>
        <v>150</v>
      </c>
      <c r="L644" s="74">
        <f>L645</f>
        <v>150</v>
      </c>
    </row>
    <row r="645" spans="1:12" s="5" customFormat="1" ht="15">
      <c r="A645" s="102" t="s">
        <v>67</v>
      </c>
      <c r="B645" s="99" t="s">
        <v>332</v>
      </c>
      <c r="C645" s="99" t="s">
        <v>148</v>
      </c>
      <c r="D645" s="99" t="s">
        <v>160</v>
      </c>
      <c r="E645" s="99" t="s">
        <v>978</v>
      </c>
      <c r="F645" s="99" t="s">
        <v>689</v>
      </c>
      <c r="G645" s="100" t="s">
        <v>68</v>
      </c>
      <c r="H645" s="74">
        <f>'Пр. 9'!I272</f>
        <v>143.3</v>
      </c>
      <c r="I645" s="74">
        <f>'Пр. 9'!J272</f>
        <v>143.3</v>
      </c>
      <c r="J645" s="101">
        <f t="shared" si="43"/>
        <v>0</v>
      </c>
      <c r="K645" s="74">
        <f>'Пр. 9'!L272</f>
        <v>150</v>
      </c>
      <c r="L645" s="74">
        <f>'Пр. 9'!M272</f>
        <v>150</v>
      </c>
    </row>
    <row r="646" spans="1:12" s="5" customFormat="1" ht="37.5" customHeight="1">
      <c r="A646" s="116" t="s">
        <v>804</v>
      </c>
      <c r="B646" s="67" t="s">
        <v>332</v>
      </c>
      <c r="C646" s="67" t="s">
        <v>148</v>
      </c>
      <c r="D646" s="67" t="s">
        <v>206</v>
      </c>
      <c r="E646" s="67" t="s">
        <v>150</v>
      </c>
      <c r="F646" s="67"/>
      <c r="G646" s="95"/>
      <c r="H646" s="36">
        <f>H647+H650</f>
        <v>1010.1</v>
      </c>
      <c r="I646" s="36">
        <f>I647+I650</f>
        <v>1010.1</v>
      </c>
      <c r="J646" s="96">
        <f t="shared" si="43"/>
        <v>0</v>
      </c>
      <c r="K646" s="36">
        <f>K647+K650</f>
        <v>110.1</v>
      </c>
      <c r="L646" s="36">
        <f>L647+L650</f>
        <v>110.1</v>
      </c>
    </row>
    <row r="647" spans="1:12" s="5" customFormat="1" ht="45" hidden="1">
      <c r="A647" s="102" t="s">
        <v>805</v>
      </c>
      <c r="B647" s="99" t="s">
        <v>332</v>
      </c>
      <c r="C647" s="99" t="s">
        <v>148</v>
      </c>
      <c r="D647" s="99" t="s">
        <v>206</v>
      </c>
      <c r="E647" s="99" t="s">
        <v>821</v>
      </c>
      <c r="F647" s="99"/>
      <c r="G647" s="100"/>
      <c r="H647" s="74">
        <f>H648</f>
        <v>0</v>
      </c>
      <c r="I647" s="74">
        <f>I648</f>
        <v>0</v>
      </c>
      <c r="J647" s="96">
        <f t="shared" si="43"/>
        <v>0</v>
      </c>
      <c r="K647" s="74">
        <f>K648</f>
        <v>0</v>
      </c>
      <c r="L647" s="74">
        <f>L648</f>
        <v>0</v>
      </c>
    </row>
    <row r="648" spans="1:12" s="5" customFormat="1" ht="30" hidden="1">
      <c r="A648" s="115" t="s">
        <v>688</v>
      </c>
      <c r="B648" s="99" t="s">
        <v>332</v>
      </c>
      <c r="C648" s="99" t="s">
        <v>148</v>
      </c>
      <c r="D648" s="99" t="s">
        <v>206</v>
      </c>
      <c r="E648" s="99" t="s">
        <v>821</v>
      </c>
      <c r="F648" s="99" t="s">
        <v>689</v>
      </c>
      <c r="G648" s="100"/>
      <c r="H648" s="74">
        <f>H649</f>
        <v>0</v>
      </c>
      <c r="I648" s="74">
        <f>I649</f>
        <v>0</v>
      </c>
      <c r="J648" s="96">
        <f t="shared" si="43"/>
        <v>0</v>
      </c>
      <c r="K648" s="74">
        <f>K649</f>
        <v>0</v>
      </c>
      <c r="L648" s="74">
        <f>L649</f>
        <v>0</v>
      </c>
    </row>
    <row r="649" spans="1:12" s="5" customFormat="1" ht="15" hidden="1">
      <c r="A649" s="102" t="s">
        <v>67</v>
      </c>
      <c r="B649" s="99" t="s">
        <v>332</v>
      </c>
      <c r="C649" s="99" t="s">
        <v>148</v>
      </c>
      <c r="D649" s="99" t="s">
        <v>206</v>
      </c>
      <c r="E649" s="99" t="s">
        <v>821</v>
      </c>
      <c r="F649" s="99" t="s">
        <v>689</v>
      </c>
      <c r="G649" s="100" t="s">
        <v>68</v>
      </c>
      <c r="H649" s="74">
        <f>'Пр. 9'!I275</f>
        <v>0</v>
      </c>
      <c r="I649" s="74">
        <f>'Пр. 9'!J275</f>
        <v>0</v>
      </c>
      <c r="J649" s="96">
        <f t="shared" si="43"/>
        <v>0</v>
      </c>
      <c r="K649" s="74">
        <f>'Пр. 9'!L275</f>
        <v>0</v>
      </c>
      <c r="L649" s="74">
        <f>'Пр. 9'!M275</f>
        <v>0</v>
      </c>
    </row>
    <row r="650" spans="1:12" s="5" customFormat="1" ht="50.25" customHeight="1">
      <c r="A650" s="115" t="s">
        <v>980</v>
      </c>
      <c r="B650" s="99" t="s">
        <v>332</v>
      </c>
      <c r="C650" s="99" t="s">
        <v>148</v>
      </c>
      <c r="D650" s="99" t="s">
        <v>206</v>
      </c>
      <c r="E650" s="99" t="s">
        <v>979</v>
      </c>
      <c r="F650" s="99"/>
      <c r="G650" s="100"/>
      <c r="H650" s="74">
        <f>H651</f>
        <v>1010.1</v>
      </c>
      <c r="I650" s="74">
        <f>I651</f>
        <v>1010.1</v>
      </c>
      <c r="J650" s="101">
        <f t="shared" si="43"/>
        <v>0</v>
      </c>
      <c r="K650" s="74">
        <f>K651</f>
        <v>110.1</v>
      </c>
      <c r="L650" s="74">
        <f>L651</f>
        <v>110.1</v>
      </c>
    </row>
    <row r="651" spans="1:12" s="5" customFormat="1" ht="15">
      <c r="A651" s="102" t="s">
        <v>684</v>
      </c>
      <c r="B651" s="99" t="s">
        <v>332</v>
      </c>
      <c r="C651" s="99" t="s">
        <v>148</v>
      </c>
      <c r="D651" s="99" t="s">
        <v>206</v>
      </c>
      <c r="E651" s="99" t="s">
        <v>979</v>
      </c>
      <c r="F651" s="99" t="s">
        <v>685</v>
      </c>
      <c r="G651" s="100"/>
      <c r="H651" s="74">
        <f>H652</f>
        <v>1010.1</v>
      </c>
      <c r="I651" s="74">
        <f>I652</f>
        <v>1010.1</v>
      </c>
      <c r="J651" s="101">
        <f t="shared" si="43"/>
        <v>0</v>
      </c>
      <c r="K651" s="74">
        <f>K652</f>
        <v>110.1</v>
      </c>
      <c r="L651" s="74">
        <f>L652</f>
        <v>110.1</v>
      </c>
    </row>
    <row r="652" spans="1:12" s="5" customFormat="1" ht="15">
      <c r="A652" s="102" t="s">
        <v>67</v>
      </c>
      <c r="B652" s="99" t="s">
        <v>332</v>
      </c>
      <c r="C652" s="99" t="s">
        <v>148</v>
      </c>
      <c r="D652" s="99" t="s">
        <v>206</v>
      </c>
      <c r="E652" s="99" t="s">
        <v>979</v>
      </c>
      <c r="F652" s="99" t="s">
        <v>685</v>
      </c>
      <c r="G652" s="100" t="s">
        <v>68</v>
      </c>
      <c r="H652" s="74">
        <f>'Пр. 9'!I277</f>
        <v>1010.1</v>
      </c>
      <c r="I652" s="74">
        <f>'Пр. 9'!J277</f>
        <v>1010.1</v>
      </c>
      <c r="J652" s="101">
        <f t="shared" si="43"/>
        <v>0</v>
      </c>
      <c r="K652" s="74">
        <f>'Пр. 9'!L277</f>
        <v>110.1</v>
      </c>
      <c r="L652" s="74">
        <f>'Пр. 9'!M277</f>
        <v>110.1</v>
      </c>
    </row>
    <row r="653" spans="1:12" s="5" customFormat="1" ht="42.75">
      <c r="A653" s="116" t="s">
        <v>806</v>
      </c>
      <c r="B653" s="67" t="s">
        <v>332</v>
      </c>
      <c r="C653" s="67" t="s">
        <v>148</v>
      </c>
      <c r="D653" s="67" t="s">
        <v>223</v>
      </c>
      <c r="E653" s="95" t="s">
        <v>150</v>
      </c>
      <c r="F653" s="67"/>
      <c r="G653" s="95"/>
      <c r="H653" s="36">
        <f aca="true" t="shared" si="48" ref="H653:I655">H654</f>
        <v>303.3</v>
      </c>
      <c r="I653" s="36">
        <f t="shared" si="48"/>
        <v>303.3</v>
      </c>
      <c r="J653" s="96">
        <f t="shared" si="43"/>
        <v>0</v>
      </c>
      <c r="K653" s="36">
        <f aca="true" t="shared" si="49" ref="K653:L655">K654</f>
        <v>324.3</v>
      </c>
      <c r="L653" s="36">
        <f t="shared" si="49"/>
        <v>52.499999999999986</v>
      </c>
    </row>
    <row r="654" spans="1:12" s="5" customFormat="1" ht="45">
      <c r="A654" s="111" t="s">
        <v>1097</v>
      </c>
      <c r="B654" s="99" t="s">
        <v>332</v>
      </c>
      <c r="C654" s="99" t="s">
        <v>148</v>
      </c>
      <c r="D654" s="99" t="s">
        <v>223</v>
      </c>
      <c r="E654" s="99" t="s">
        <v>519</v>
      </c>
      <c r="F654" s="99"/>
      <c r="G654" s="100"/>
      <c r="H654" s="74">
        <f t="shared" si="48"/>
        <v>303.3</v>
      </c>
      <c r="I654" s="74">
        <f t="shared" si="48"/>
        <v>303.3</v>
      </c>
      <c r="J654" s="101">
        <f t="shared" si="43"/>
        <v>0</v>
      </c>
      <c r="K654" s="74">
        <f t="shared" si="49"/>
        <v>324.3</v>
      </c>
      <c r="L654" s="74">
        <f t="shared" si="49"/>
        <v>52.499999999999986</v>
      </c>
    </row>
    <row r="655" spans="1:12" s="5" customFormat="1" ht="30">
      <c r="A655" s="111" t="s">
        <v>688</v>
      </c>
      <c r="B655" s="99" t="s">
        <v>332</v>
      </c>
      <c r="C655" s="99" t="s">
        <v>148</v>
      </c>
      <c r="D655" s="99" t="s">
        <v>223</v>
      </c>
      <c r="E655" s="99" t="s">
        <v>519</v>
      </c>
      <c r="F655" s="99" t="s">
        <v>689</v>
      </c>
      <c r="G655" s="100"/>
      <c r="H655" s="74">
        <f t="shared" si="48"/>
        <v>303.3</v>
      </c>
      <c r="I655" s="74">
        <f t="shared" si="48"/>
        <v>303.3</v>
      </c>
      <c r="J655" s="101">
        <f t="shared" si="43"/>
        <v>0</v>
      </c>
      <c r="K655" s="74">
        <f t="shared" si="49"/>
        <v>324.3</v>
      </c>
      <c r="L655" s="74">
        <f t="shared" si="49"/>
        <v>52.499999999999986</v>
      </c>
    </row>
    <row r="656" spans="1:12" s="5" customFormat="1" ht="15">
      <c r="A656" s="102" t="s">
        <v>67</v>
      </c>
      <c r="B656" s="99" t="s">
        <v>332</v>
      </c>
      <c r="C656" s="99" t="s">
        <v>148</v>
      </c>
      <c r="D656" s="99" t="s">
        <v>223</v>
      </c>
      <c r="E656" s="99" t="s">
        <v>519</v>
      </c>
      <c r="F656" s="99" t="s">
        <v>689</v>
      </c>
      <c r="G656" s="100" t="s">
        <v>68</v>
      </c>
      <c r="H656" s="74">
        <f>'Пр. 9'!I280</f>
        <v>303.3</v>
      </c>
      <c r="I656" s="74">
        <f>'Пр. 9'!J280</f>
        <v>303.3</v>
      </c>
      <c r="J656" s="101">
        <f t="shared" si="43"/>
        <v>0</v>
      </c>
      <c r="K656" s="74">
        <f>'Пр. 9'!L280</f>
        <v>324.3</v>
      </c>
      <c r="L656" s="74">
        <f>'Пр. 9'!M280</f>
        <v>52.499999999999986</v>
      </c>
    </row>
    <row r="657" spans="1:12" s="5" customFormat="1" ht="59.25" customHeight="1">
      <c r="A657" s="125" t="s">
        <v>1106</v>
      </c>
      <c r="B657" s="67" t="s">
        <v>332</v>
      </c>
      <c r="C657" s="67" t="s">
        <v>148</v>
      </c>
      <c r="D657" s="67" t="s">
        <v>332</v>
      </c>
      <c r="E657" s="95" t="s">
        <v>150</v>
      </c>
      <c r="F657" s="67"/>
      <c r="G657" s="95"/>
      <c r="H657" s="36">
        <f aca="true" t="shared" si="50" ref="H657:I659">H658</f>
        <v>186.8</v>
      </c>
      <c r="I657" s="36">
        <f t="shared" si="50"/>
        <v>186.8</v>
      </c>
      <c r="J657" s="96">
        <f t="shared" si="43"/>
        <v>0</v>
      </c>
      <c r="K657" s="36">
        <f aca="true" t="shared" si="51" ref="K657:L659">K658</f>
        <v>190.1</v>
      </c>
      <c r="L657" s="36">
        <f t="shared" si="51"/>
        <v>190.1</v>
      </c>
    </row>
    <row r="658" spans="1:12" s="4" customFormat="1" ht="48" customHeight="1">
      <c r="A658" s="111" t="s">
        <v>1110</v>
      </c>
      <c r="B658" s="99" t="s">
        <v>332</v>
      </c>
      <c r="C658" s="99" t="s">
        <v>148</v>
      </c>
      <c r="D658" s="99" t="s">
        <v>332</v>
      </c>
      <c r="E658" s="100" t="s">
        <v>336</v>
      </c>
      <c r="F658" s="99"/>
      <c r="G658" s="100"/>
      <c r="H658" s="74">
        <f t="shared" si="50"/>
        <v>186.8</v>
      </c>
      <c r="I658" s="74">
        <f t="shared" si="50"/>
        <v>186.8</v>
      </c>
      <c r="J658" s="101">
        <f t="shared" si="43"/>
        <v>0</v>
      </c>
      <c r="K658" s="74">
        <f t="shared" si="51"/>
        <v>190.1</v>
      </c>
      <c r="L658" s="74">
        <f t="shared" si="51"/>
        <v>190.1</v>
      </c>
    </row>
    <row r="659" spans="1:12" s="4" customFormat="1" ht="30">
      <c r="A659" s="111" t="s">
        <v>683</v>
      </c>
      <c r="B659" s="99" t="s">
        <v>332</v>
      </c>
      <c r="C659" s="99" t="s">
        <v>148</v>
      </c>
      <c r="D659" s="99" t="s">
        <v>332</v>
      </c>
      <c r="E659" s="100" t="s">
        <v>336</v>
      </c>
      <c r="F659" s="99" t="s">
        <v>682</v>
      </c>
      <c r="G659" s="100"/>
      <c r="H659" s="74">
        <f t="shared" si="50"/>
        <v>186.8</v>
      </c>
      <c r="I659" s="74">
        <f t="shared" si="50"/>
        <v>186.8</v>
      </c>
      <c r="J659" s="101">
        <f t="shared" si="43"/>
        <v>0</v>
      </c>
      <c r="K659" s="74">
        <f t="shared" si="51"/>
        <v>190.1</v>
      </c>
      <c r="L659" s="74">
        <f t="shared" si="51"/>
        <v>190.1</v>
      </c>
    </row>
    <row r="660" spans="1:12" s="4" customFormat="1" ht="15">
      <c r="A660" s="102" t="s">
        <v>67</v>
      </c>
      <c r="B660" s="99" t="s">
        <v>332</v>
      </c>
      <c r="C660" s="99" t="s">
        <v>148</v>
      </c>
      <c r="D660" s="99" t="s">
        <v>332</v>
      </c>
      <c r="E660" s="100" t="s">
        <v>336</v>
      </c>
      <c r="F660" s="99" t="s">
        <v>682</v>
      </c>
      <c r="G660" s="100" t="s">
        <v>68</v>
      </c>
      <c r="H660" s="74">
        <f>'Пр. 9'!I283</f>
        <v>186.8</v>
      </c>
      <c r="I660" s="74">
        <f>'Пр. 9'!J283</f>
        <v>186.8</v>
      </c>
      <c r="J660" s="101">
        <f t="shared" si="43"/>
        <v>0</v>
      </c>
      <c r="K660" s="74">
        <f>'Пр. 9'!L283</f>
        <v>190.1</v>
      </c>
      <c r="L660" s="74">
        <f>'Пр. 9'!M283</f>
        <v>190.1</v>
      </c>
    </row>
    <row r="661" spans="1:12" s="4" customFormat="1" ht="42.75">
      <c r="A661" s="110" t="s">
        <v>140</v>
      </c>
      <c r="B661" s="67" t="s">
        <v>341</v>
      </c>
      <c r="C661" s="67" t="s">
        <v>148</v>
      </c>
      <c r="D661" s="67" t="s">
        <v>149</v>
      </c>
      <c r="E661" s="67" t="s">
        <v>150</v>
      </c>
      <c r="F661" s="67"/>
      <c r="G661" s="95"/>
      <c r="H661" s="36">
        <f>H662+H678</f>
        <v>6091.5</v>
      </c>
      <c r="I661" s="36">
        <f>I662+I678</f>
        <v>6091.5</v>
      </c>
      <c r="J661" s="96">
        <f t="shared" si="43"/>
        <v>0</v>
      </c>
      <c r="K661" s="36">
        <f>K662+K678</f>
        <v>6245.7</v>
      </c>
      <c r="L661" s="36">
        <f>L662+L678</f>
        <v>6448.200000000001</v>
      </c>
    </row>
    <row r="662" spans="1:12" s="4" customFormat="1" ht="42.75">
      <c r="A662" s="97" t="s">
        <v>346</v>
      </c>
      <c r="B662" s="67" t="s">
        <v>341</v>
      </c>
      <c r="C662" s="67" t="s">
        <v>131</v>
      </c>
      <c r="D662" s="67" t="s">
        <v>149</v>
      </c>
      <c r="E662" s="67" t="s">
        <v>150</v>
      </c>
      <c r="F662" s="67"/>
      <c r="G662" s="95"/>
      <c r="H662" s="36">
        <f>H663+H674</f>
        <v>4976.6</v>
      </c>
      <c r="I662" s="36">
        <f>I663+I674</f>
        <v>4976.6</v>
      </c>
      <c r="J662" s="96">
        <f t="shared" si="43"/>
        <v>0</v>
      </c>
      <c r="K662" s="36">
        <f>K663+K674</f>
        <v>4794.5</v>
      </c>
      <c r="L662" s="36">
        <f>L663+L674</f>
        <v>4983.6</v>
      </c>
    </row>
    <row r="663" spans="1:12" s="5" customFormat="1" ht="42.75">
      <c r="A663" s="97" t="s">
        <v>347</v>
      </c>
      <c r="B663" s="67" t="s">
        <v>341</v>
      </c>
      <c r="C663" s="67" t="s">
        <v>131</v>
      </c>
      <c r="D663" s="67" t="s">
        <v>147</v>
      </c>
      <c r="E663" s="67" t="s">
        <v>150</v>
      </c>
      <c r="F663" s="67"/>
      <c r="G663" s="95"/>
      <c r="H663" s="36">
        <f>H664+H669</f>
        <v>4612.6</v>
      </c>
      <c r="I663" s="36">
        <f>I664+I669</f>
        <v>4612.6</v>
      </c>
      <c r="J663" s="96">
        <f t="shared" si="43"/>
        <v>0</v>
      </c>
      <c r="K663" s="36">
        <f>K664+K669</f>
        <v>4794.5</v>
      </c>
      <c r="L663" s="36">
        <f>L664+L669</f>
        <v>4983.6</v>
      </c>
    </row>
    <row r="664" spans="1:12" s="4" customFormat="1" ht="30">
      <c r="A664" s="107" t="s">
        <v>348</v>
      </c>
      <c r="B664" s="99" t="s">
        <v>341</v>
      </c>
      <c r="C664" s="99" t="s">
        <v>131</v>
      </c>
      <c r="D664" s="99" t="s">
        <v>147</v>
      </c>
      <c r="E664" s="99" t="s">
        <v>349</v>
      </c>
      <c r="F664" s="99"/>
      <c r="G664" s="100"/>
      <c r="H664" s="74">
        <f>H665+H667</f>
        <v>3815.6000000000004</v>
      </c>
      <c r="I664" s="74">
        <f>I665+I667</f>
        <v>3815.6000000000004</v>
      </c>
      <c r="J664" s="101">
        <f t="shared" si="43"/>
        <v>0</v>
      </c>
      <c r="K664" s="74">
        <f>K665+K667</f>
        <v>3968.2999999999997</v>
      </c>
      <c r="L664" s="74">
        <f>L665+L667</f>
        <v>4127</v>
      </c>
    </row>
    <row r="665" spans="1:12" s="4" customFormat="1" ht="60">
      <c r="A665" s="102" t="s">
        <v>680</v>
      </c>
      <c r="B665" s="99" t="s">
        <v>341</v>
      </c>
      <c r="C665" s="99" t="s">
        <v>131</v>
      </c>
      <c r="D665" s="99" t="s">
        <v>147</v>
      </c>
      <c r="E665" s="99" t="s">
        <v>349</v>
      </c>
      <c r="F665" s="99" t="s">
        <v>681</v>
      </c>
      <c r="G665" s="100"/>
      <c r="H665" s="74">
        <f>H666</f>
        <v>3633.8</v>
      </c>
      <c r="I665" s="74">
        <f>I666</f>
        <v>3633.8</v>
      </c>
      <c r="J665" s="101">
        <f t="shared" si="43"/>
        <v>0</v>
      </c>
      <c r="K665" s="74">
        <f>K666</f>
        <v>3779.2</v>
      </c>
      <c r="L665" s="74">
        <f>L666</f>
        <v>3930.3</v>
      </c>
    </row>
    <row r="666" spans="1:12" s="4" customFormat="1" ht="45">
      <c r="A666" s="102" t="s">
        <v>43</v>
      </c>
      <c r="B666" s="99" t="s">
        <v>341</v>
      </c>
      <c r="C666" s="99" t="s">
        <v>131</v>
      </c>
      <c r="D666" s="99" t="s">
        <v>147</v>
      </c>
      <c r="E666" s="99" t="s">
        <v>349</v>
      </c>
      <c r="F666" s="99" t="s">
        <v>681</v>
      </c>
      <c r="G666" s="100" t="s">
        <v>44</v>
      </c>
      <c r="H666" s="74">
        <f>'Пр. 9'!I36</f>
        <v>3633.8</v>
      </c>
      <c r="I666" s="74">
        <f>'Пр. 9'!J36</f>
        <v>3633.8</v>
      </c>
      <c r="J666" s="101">
        <f t="shared" si="43"/>
        <v>0</v>
      </c>
      <c r="K666" s="74">
        <f>'Пр. 9'!L36</f>
        <v>3779.2</v>
      </c>
      <c r="L666" s="74">
        <f>'Пр. 9'!M36</f>
        <v>3930.3</v>
      </c>
    </row>
    <row r="667" spans="1:12" s="4" customFormat="1" ht="30">
      <c r="A667" s="102" t="s">
        <v>683</v>
      </c>
      <c r="B667" s="99" t="s">
        <v>341</v>
      </c>
      <c r="C667" s="99" t="s">
        <v>131</v>
      </c>
      <c r="D667" s="99" t="s">
        <v>147</v>
      </c>
      <c r="E667" s="99" t="s">
        <v>349</v>
      </c>
      <c r="F667" s="99" t="s">
        <v>682</v>
      </c>
      <c r="G667" s="100"/>
      <c r="H667" s="74">
        <f>H668</f>
        <v>181.8</v>
      </c>
      <c r="I667" s="74">
        <f>I668</f>
        <v>181.8</v>
      </c>
      <c r="J667" s="101">
        <f t="shared" si="43"/>
        <v>0</v>
      </c>
      <c r="K667" s="74">
        <f>K668</f>
        <v>189.1</v>
      </c>
      <c r="L667" s="74">
        <f>L668</f>
        <v>196.7</v>
      </c>
    </row>
    <row r="668" spans="1:12" s="4" customFormat="1" ht="45">
      <c r="A668" s="102" t="s">
        <v>43</v>
      </c>
      <c r="B668" s="99" t="s">
        <v>341</v>
      </c>
      <c r="C668" s="99" t="s">
        <v>131</v>
      </c>
      <c r="D668" s="99" t="s">
        <v>147</v>
      </c>
      <c r="E668" s="99" t="s">
        <v>349</v>
      </c>
      <c r="F668" s="99" t="s">
        <v>682</v>
      </c>
      <c r="G668" s="100" t="s">
        <v>44</v>
      </c>
      <c r="H668" s="74">
        <f>'Пр. 9'!I37</f>
        <v>181.8</v>
      </c>
      <c r="I668" s="74">
        <f>'Пр. 9'!J37</f>
        <v>181.8</v>
      </c>
      <c r="J668" s="101">
        <f t="shared" si="43"/>
        <v>0</v>
      </c>
      <c r="K668" s="74">
        <f>'Пр. 9'!L37</f>
        <v>189.1</v>
      </c>
      <c r="L668" s="74">
        <f>'Пр. 9'!M37</f>
        <v>196.7</v>
      </c>
    </row>
    <row r="669" spans="1:12" s="4" customFormat="1" ht="15">
      <c r="A669" s="107" t="s">
        <v>350</v>
      </c>
      <c r="B669" s="99" t="s">
        <v>341</v>
      </c>
      <c r="C669" s="99" t="s">
        <v>131</v>
      </c>
      <c r="D669" s="99" t="s">
        <v>147</v>
      </c>
      <c r="E669" s="99" t="s">
        <v>351</v>
      </c>
      <c r="F669" s="99"/>
      <c r="G669" s="100"/>
      <c r="H669" s="74">
        <f>H670+H672</f>
        <v>797</v>
      </c>
      <c r="I669" s="74">
        <f>I670+I672</f>
        <v>797</v>
      </c>
      <c r="J669" s="101">
        <f t="shared" si="43"/>
        <v>0</v>
      </c>
      <c r="K669" s="74">
        <f>K670+K672</f>
        <v>826.2</v>
      </c>
      <c r="L669" s="74">
        <f>L670+L672</f>
        <v>856.6</v>
      </c>
    </row>
    <row r="670" spans="1:12" s="4" customFormat="1" ht="60">
      <c r="A670" s="102" t="s">
        <v>680</v>
      </c>
      <c r="B670" s="99" t="s">
        <v>341</v>
      </c>
      <c r="C670" s="99" t="s">
        <v>131</v>
      </c>
      <c r="D670" s="99" t="s">
        <v>147</v>
      </c>
      <c r="E670" s="99" t="s">
        <v>351</v>
      </c>
      <c r="F670" s="99" t="s">
        <v>681</v>
      </c>
      <c r="G670" s="100"/>
      <c r="H670" s="74">
        <f>H671</f>
        <v>752.8</v>
      </c>
      <c r="I670" s="74">
        <f>I671</f>
        <v>752.8</v>
      </c>
      <c r="J670" s="101">
        <f t="shared" si="43"/>
        <v>0</v>
      </c>
      <c r="K670" s="74">
        <f>K671</f>
        <v>797.7</v>
      </c>
      <c r="L670" s="74">
        <f>L671</f>
        <v>827</v>
      </c>
    </row>
    <row r="671" spans="1:12" s="4" customFormat="1" ht="45">
      <c r="A671" s="102" t="s">
        <v>43</v>
      </c>
      <c r="B671" s="99" t="s">
        <v>341</v>
      </c>
      <c r="C671" s="99" t="s">
        <v>131</v>
      </c>
      <c r="D671" s="99" t="s">
        <v>147</v>
      </c>
      <c r="E671" s="99" t="s">
        <v>351</v>
      </c>
      <c r="F671" s="99" t="s">
        <v>681</v>
      </c>
      <c r="G671" s="100" t="s">
        <v>44</v>
      </c>
      <c r="H671" s="74">
        <f>'Пр. 9'!I39</f>
        <v>752.8</v>
      </c>
      <c r="I671" s="74">
        <f>'Пр. 9'!J39</f>
        <v>752.8</v>
      </c>
      <c r="J671" s="101">
        <f t="shared" si="43"/>
        <v>0</v>
      </c>
      <c r="K671" s="74">
        <f>'Пр. 9'!L39</f>
        <v>797.7</v>
      </c>
      <c r="L671" s="74">
        <f>'Пр. 9'!M39</f>
        <v>827</v>
      </c>
    </row>
    <row r="672" spans="1:12" s="4" customFormat="1" ht="30">
      <c r="A672" s="102" t="s">
        <v>683</v>
      </c>
      <c r="B672" s="99" t="s">
        <v>341</v>
      </c>
      <c r="C672" s="99" t="s">
        <v>131</v>
      </c>
      <c r="D672" s="99" t="s">
        <v>147</v>
      </c>
      <c r="E672" s="99" t="s">
        <v>351</v>
      </c>
      <c r="F672" s="99" t="s">
        <v>682</v>
      </c>
      <c r="G672" s="100"/>
      <c r="H672" s="74">
        <f>H673</f>
        <v>44.2</v>
      </c>
      <c r="I672" s="74">
        <f>I673</f>
        <v>44.2</v>
      </c>
      <c r="J672" s="101">
        <f t="shared" si="43"/>
        <v>0</v>
      </c>
      <c r="K672" s="74">
        <f>K673</f>
        <v>28.5</v>
      </c>
      <c r="L672" s="74">
        <f>L673</f>
        <v>29.6</v>
      </c>
    </row>
    <row r="673" spans="1:12" s="4" customFormat="1" ht="45">
      <c r="A673" s="102" t="s">
        <v>43</v>
      </c>
      <c r="B673" s="99" t="s">
        <v>341</v>
      </c>
      <c r="C673" s="99" t="s">
        <v>131</v>
      </c>
      <c r="D673" s="99" t="s">
        <v>147</v>
      </c>
      <c r="E673" s="99" t="s">
        <v>351</v>
      </c>
      <c r="F673" s="99" t="s">
        <v>682</v>
      </c>
      <c r="G673" s="100" t="s">
        <v>44</v>
      </c>
      <c r="H673" s="74">
        <f>'Пр. 9'!I40</f>
        <v>44.2</v>
      </c>
      <c r="I673" s="74">
        <f>'Пр. 9'!J40</f>
        <v>44.2</v>
      </c>
      <c r="J673" s="101">
        <f t="shared" si="43"/>
        <v>0</v>
      </c>
      <c r="K673" s="74">
        <f>'Пр. 9'!L40</f>
        <v>28.5</v>
      </c>
      <c r="L673" s="74">
        <f>'Пр. 9'!M40</f>
        <v>29.6</v>
      </c>
    </row>
    <row r="674" spans="1:12" s="4" customFormat="1" ht="28.5">
      <c r="A674" s="124" t="s">
        <v>1035</v>
      </c>
      <c r="B674" s="67" t="s">
        <v>341</v>
      </c>
      <c r="C674" s="67" t="s">
        <v>131</v>
      </c>
      <c r="D674" s="67" t="s">
        <v>160</v>
      </c>
      <c r="E674" s="67" t="s">
        <v>150</v>
      </c>
      <c r="F674" s="67"/>
      <c r="G674" s="95"/>
      <c r="H674" s="36">
        <f aca="true" t="shared" si="52" ref="H674:L676">H675</f>
        <v>364</v>
      </c>
      <c r="I674" s="36">
        <f t="shared" si="52"/>
        <v>364</v>
      </c>
      <c r="J674" s="96">
        <f t="shared" si="43"/>
        <v>0</v>
      </c>
      <c r="K674" s="36">
        <f t="shared" si="52"/>
        <v>0</v>
      </c>
      <c r="L674" s="36">
        <f t="shared" si="52"/>
        <v>0</v>
      </c>
    </row>
    <row r="675" spans="1:12" s="4" customFormat="1" ht="30">
      <c r="A675" s="109" t="s">
        <v>1036</v>
      </c>
      <c r="B675" s="99" t="s">
        <v>341</v>
      </c>
      <c r="C675" s="99" t="s">
        <v>131</v>
      </c>
      <c r="D675" s="99" t="s">
        <v>160</v>
      </c>
      <c r="E675" s="99" t="s">
        <v>1037</v>
      </c>
      <c r="F675" s="99"/>
      <c r="G675" s="100"/>
      <c r="H675" s="74">
        <f t="shared" si="52"/>
        <v>364</v>
      </c>
      <c r="I675" s="74">
        <f t="shared" si="52"/>
        <v>364</v>
      </c>
      <c r="J675" s="101">
        <f t="shared" si="43"/>
        <v>0</v>
      </c>
      <c r="K675" s="74">
        <f t="shared" si="52"/>
        <v>0</v>
      </c>
      <c r="L675" s="74">
        <f t="shared" si="52"/>
        <v>0</v>
      </c>
    </row>
    <row r="676" spans="1:12" s="4" customFormat="1" ht="30">
      <c r="A676" s="111" t="s">
        <v>683</v>
      </c>
      <c r="B676" s="99" t="s">
        <v>341</v>
      </c>
      <c r="C676" s="99" t="s">
        <v>131</v>
      </c>
      <c r="D676" s="99" t="s">
        <v>160</v>
      </c>
      <c r="E676" s="99" t="s">
        <v>1037</v>
      </c>
      <c r="F676" s="99" t="s">
        <v>682</v>
      </c>
      <c r="G676" s="100"/>
      <c r="H676" s="74">
        <f t="shared" si="52"/>
        <v>364</v>
      </c>
      <c r="I676" s="74">
        <f t="shared" si="52"/>
        <v>364</v>
      </c>
      <c r="J676" s="101">
        <f t="shared" si="43"/>
        <v>0</v>
      </c>
      <c r="K676" s="74">
        <f t="shared" si="52"/>
        <v>0</v>
      </c>
      <c r="L676" s="74">
        <f t="shared" si="52"/>
        <v>0</v>
      </c>
    </row>
    <row r="677" spans="1:12" s="4" customFormat="1" ht="30">
      <c r="A677" s="70" t="s">
        <v>55</v>
      </c>
      <c r="B677" s="99" t="s">
        <v>341</v>
      </c>
      <c r="C677" s="99" t="s">
        <v>131</v>
      </c>
      <c r="D677" s="99" t="s">
        <v>160</v>
      </c>
      <c r="E677" s="99" t="s">
        <v>1037</v>
      </c>
      <c r="F677" s="99" t="s">
        <v>682</v>
      </c>
      <c r="G677" s="100" t="s">
        <v>56</v>
      </c>
      <c r="H677" s="74">
        <f>'Пр. 9'!I143</f>
        <v>364</v>
      </c>
      <c r="I677" s="74">
        <f>'Пр. 9'!J143</f>
        <v>364</v>
      </c>
      <c r="J677" s="101">
        <f t="shared" si="43"/>
        <v>0</v>
      </c>
      <c r="K677" s="74">
        <f>'Пр. 9'!L143</f>
        <v>0</v>
      </c>
      <c r="L677" s="74">
        <f>'Пр. 9'!M143</f>
        <v>0</v>
      </c>
    </row>
    <row r="678" spans="1:12" s="4" customFormat="1" ht="71.25">
      <c r="A678" s="97" t="s">
        <v>775</v>
      </c>
      <c r="B678" s="67" t="s">
        <v>341</v>
      </c>
      <c r="C678" s="67" t="s">
        <v>132</v>
      </c>
      <c r="D678" s="67" t="s">
        <v>149</v>
      </c>
      <c r="E678" s="67" t="s">
        <v>150</v>
      </c>
      <c r="F678" s="67"/>
      <c r="G678" s="95"/>
      <c r="H678" s="36">
        <f>H679+H686+H696+H709</f>
        <v>1114.8999999999999</v>
      </c>
      <c r="I678" s="36">
        <f>I679+I686+I696+I709</f>
        <v>1114.8999999999999</v>
      </c>
      <c r="J678" s="96">
        <f t="shared" si="43"/>
        <v>0</v>
      </c>
      <c r="K678" s="36">
        <f>K679+K686+K696+K709</f>
        <v>1451.1999999999998</v>
      </c>
      <c r="L678" s="36">
        <f>L679+L686+L696+L709</f>
        <v>1464.6</v>
      </c>
    </row>
    <row r="679" spans="1:12" s="5" customFormat="1" ht="28.5">
      <c r="A679" s="116" t="s">
        <v>352</v>
      </c>
      <c r="B679" s="67" t="s">
        <v>341</v>
      </c>
      <c r="C679" s="67" t="s">
        <v>132</v>
      </c>
      <c r="D679" s="67" t="s">
        <v>147</v>
      </c>
      <c r="E679" s="67" t="s">
        <v>150</v>
      </c>
      <c r="F679" s="67"/>
      <c r="G679" s="95"/>
      <c r="H679" s="36">
        <f>H680+H683</f>
        <v>498.29999999999995</v>
      </c>
      <c r="I679" s="36">
        <f>I680+I683</f>
        <v>498.29999999999995</v>
      </c>
      <c r="J679" s="96">
        <f t="shared" si="43"/>
        <v>0</v>
      </c>
      <c r="K679" s="36">
        <f>K680+K683</f>
        <v>844.3</v>
      </c>
      <c r="L679" s="36">
        <f>L680+L683</f>
        <v>844.3</v>
      </c>
    </row>
    <row r="680" spans="1:12" s="4" customFormat="1" ht="24" customHeight="1">
      <c r="A680" s="107" t="s">
        <v>353</v>
      </c>
      <c r="B680" s="99" t="s">
        <v>341</v>
      </c>
      <c r="C680" s="99" t="s">
        <v>132</v>
      </c>
      <c r="D680" s="99" t="s">
        <v>147</v>
      </c>
      <c r="E680" s="99" t="s">
        <v>354</v>
      </c>
      <c r="F680" s="99"/>
      <c r="G680" s="100"/>
      <c r="H680" s="74">
        <f>H681</f>
        <v>477.29999999999995</v>
      </c>
      <c r="I680" s="74">
        <f>I681</f>
        <v>477.29999999999995</v>
      </c>
      <c r="J680" s="101">
        <f t="shared" si="43"/>
        <v>0</v>
      </c>
      <c r="K680" s="74">
        <f>K681</f>
        <v>824</v>
      </c>
      <c r="L680" s="74">
        <f>L681</f>
        <v>824</v>
      </c>
    </row>
    <row r="681" spans="1:12" s="4" customFormat="1" ht="30">
      <c r="A681" s="102" t="s">
        <v>683</v>
      </c>
      <c r="B681" s="99" t="s">
        <v>341</v>
      </c>
      <c r="C681" s="99" t="s">
        <v>132</v>
      </c>
      <c r="D681" s="99" t="s">
        <v>147</v>
      </c>
      <c r="E681" s="99" t="s">
        <v>354</v>
      </c>
      <c r="F681" s="99" t="s">
        <v>682</v>
      </c>
      <c r="G681" s="100"/>
      <c r="H681" s="74">
        <f>H682</f>
        <v>477.29999999999995</v>
      </c>
      <c r="I681" s="74">
        <f>I682</f>
        <v>477.29999999999995</v>
      </c>
      <c r="J681" s="101">
        <f t="shared" si="43"/>
        <v>0</v>
      </c>
      <c r="K681" s="74">
        <f>K682</f>
        <v>824</v>
      </c>
      <c r="L681" s="74">
        <f>L682</f>
        <v>824</v>
      </c>
    </row>
    <row r="682" spans="1:12" s="4" customFormat="1" ht="30">
      <c r="A682" s="107" t="s">
        <v>355</v>
      </c>
      <c r="B682" s="99" t="s">
        <v>341</v>
      </c>
      <c r="C682" s="99" t="s">
        <v>132</v>
      </c>
      <c r="D682" s="99" t="s">
        <v>147</v>
      </c>
      <c r="E682" s="99" t="s">
        <v>354</v>
      </c>
      <c r="F682" s="99" t="s">
        <v>682</v>
      </c>
      <c r="G682" s="100" t="s">
        <v>56</v>
      </c>
      <c r="H682" s="74">
        <f>'Пр. 9'!I147</f>
        <v>477.29999999999995</v>
      </c>
      <c r="I682" s="74">
        <f>'Пр. 9'!J147</f>
        <v>477.29999999999995</v>
      </c>
      <c r="J682" s="101">
        <f t="shared" si="43"/>
        <v>0</v>
      </c>
      <c r="K682" s="74">
        <f>'Пр. 9'!L147</f>
        <v>824</v>
      </c>
      <c r="L682" s="74">
        <f>'Пр. 9'!M147</f>
        <v>824</v>
      </c>
    </row>
    <row r="683" spans="1:12" s="4" customFormat="1" ht="30">
      <c r="A683" s="107" t="s">
        <v>356</v>
      </c>
      <c r="B683" s="99" t="s">
        <v>341</v>
      </c>
      <c r="C683" s="99" t="s">
        <v>132</v>
      </c>
      <c r="D683" s="99" t="s">
        <v>147</v>
      </c>
      <c r="E683" s="99" t="s">
        <v>357</v>
      </c>
      <c r="F683" s="99"/>
      <c r="G683" s="100"/>
      <c r="H683" s="74">
        <f>H684</f>
        <v>21</v>
      </c>
      <c r="I683" s="74">
        <f>I684</f>
        <v>21</v>
      </c>
      <c r="J683" s="101">
        <f t="shared" si="43"/>
        <v>0</v>
      </c>
      <c r="K683" s="74">
        <f>K684</f>
        <v>20.3</v>
      </c>
      <c r="L683" s="74">
        <f>L684</f>
        <v>20.3</v>
      </c>
    </row>
    <row r="684" spans="1:12" s="4" customFormat="1" ht="30">
      <c r="A684" s="102" t="s">
        <v>683</v>
      </c>
      <c r="B684" s="99" t="s">
        <v>341</v>
      </c>
      <c r="C684" s="99" t="s">
        <v>132</v>
      </c>
      <c r="D684" s="99" t="s">
        <v>147</v>
      </c>
      <c r="E684" s="99" t="s">
        <v>357</v>
      </c>
      <c r="F684" s="99" t="s">
        <v>682</v>
      </c>
      <c r="G684" s="100"/>
      <c r="H684" s="74">
        <f>H685</f>
        <v>21</v>
      </c>
      <c r="I684" s="74">
        <f>I685</f>
        <v>21</v>
      </c>
      <c r="J684" s="101">
        <f t="shared" si="43"/>
        <v>0</v>
      </c>
      <c r="K684" s="74">
        <f>K685</f>
        <v>20.3</v>
      </c>
      <c r="L684" s="74">
        <f>L685</f>
        <v>20.3</v>
      </c>
    </row>
    <row r="685" spans="1:12" s="4" customFormat="1" ht="30">
      <c r="A685" s="107" t="s">
        <v>355</v>
      </c>
      <c r="B685" s="99" t="s">
        <v>341</v>
      </c>
      <c r="C685" s="99" t="s">
        <v>132</v>
      </c>
      <c r="D685" s="99" t="s">
        <v>147</v>
      </c>
      <c r="E685" s="99" t="s">
        <v>357</v>
      </c>
      <c r="F685" s="99" t="s">
        <v>682</v>
      </c>
      <c r="G685" s="100" t="s">
        <v>56</v>
      </c>
      <c r="H685" s="74">
        <f>'Пр. 9'!I149</f>
        <v>21</v>
      </c>
      <c r="I685" s="74">
        <f>'Пр. 9'!J149</f>
        <v>21</v>
      </c>
      <c r="J685" s="101">
        <f aca="true" t="shared" si="53" ref="J685:J748">I685-H685</f>
        <v>0</v>
      </c>
      <c r="K685" s="74">
        <f>'Пр. 9'!L149</f>
        <v>20.3</v>
      </c>
      <c r="L685" s="74">
        <f>'Пр. 9'!M149</f>
        <v>20.3</v>
      </c>
    </row>
    <row r="686" spans="1:12" s="5" customFormat="1" ht="28.5">
      <c r="A686" s="116" t="s">
        <v>358</v>
      </c>
      <c r="B686" s="67" t="s">
        <v>341</v>
      </c>
      <c r="C686" s="67" t="s">
        <v>132</v>
      </c>
      <c r="D686" s="67" t="s">
        <v>160</v>
      </c>
      <c r="E686" s="67" t="s">
        <v>150</v>
      </c>
      <c r="F686" s="67"/>
      <c r="G686" s="95"/>
      <c r="H686" s="36">
        <f>H687+H690+H693</f>
        <v>131.8</v>
      </c>
      <c r="I686" s="36">
        <f>I687+I690+I693</f>
        <v>131.8</v>
      </c>
      <c r="J686" s="96">
        <f t="shared" si="53"/>
        <v>0</v>
      </c>
      <c r="K686" s="36">
        <f>K687+K690+K693</f>
        <v>131.8</v>
      </c>
      <c r="L686" s="36">
        <f>L687+L690+L693</f>
        <v>131.8</v>
      </c>
    </row>
    <row r="687" spans="1:12" s="4" customFormat="1" ht="30">
      <c r="A687" s="107" t="s">
        <v>928</v>
      </c>
      <c r="B687" s="99" t="s">
        <v>341</v>
      </c>
      <c r="C687" s="99" t="s">
        <v>132</v>
      </c>
      <c r="D687" s="99" t="s">
        <v>160</v>
      </c>
      <c r="E687" s="99" t="s">
        <v>359</v>
      </c>
      <c r="F687" s="99"/>
      <c r="G687" s="100"/>
      <c r="H687" s="74">
        <f>H688</f>
        <v>131.8</v>
      </c>
      <c r="I687" s="74">
        <f>I688</f>
        <v>131.8</v>
      </c>
      <c r="J687" s="101">
        <f t="shared" si="53"/>
        <v>0</v>
      </c>
      <c r="K687" s="74">
        <f>K688</f>
        <v>131.8</v>
      </c>
      <c r="L687" s="74">
        <f>L688</f>
        <v>131.8</v>
      </c>
    </row>
    <row r="688" spans="1:12" s="4" customFormat="1" ht="30">
      <c r="A688" s="102" t="s">
        <v>683</v>
      </c>
      <c r="B688" s="99" t="s">
        <v>341</v>
      </c>
      <c r="C688" s="99" t="s">
        <v>132</v>
      </c>
      <c r="D688" s="99" t="s">
        <v>160</v>
      </c>
      <c r="E688" s="99" t="s">
        <v>359</v>
      </c>
      <c r="F688" s="99" t="s">
        <v>682</v>
      </c>
      <c r="G688" s="100"/>
      <c r="H688" s="74">
        <f>H689</f>
        <v>131.8</v>
      </c>
      <c r="I688" s="74">
        <f>I689</f>
        <v>131.8</v>
      </c>
      <c r="J688" s="101">
        <f t="shared" si="53"/>
        <v>0</v>
      </c>
      <c r="K688" s="74">
        <f>K689</f>
        <v>131.8</v>
      </c>
      <c r="L688" s="74">
        <f>L689</f>
        <v>131.8</v>
      </c>
    </row>
    <row r="689" spans="1:12" s="4" customFormat="1" ht="30">
      <c r="A689" s="107" t="s">
        <v>355</v>
      </c>
      <c r="B689" s="99" t="s">
        <v>341</v>
      </c>
      <c r="C689" s="99" t="s">
        <v>132</v>
      </c>
      <c r="D689" s="99" t="s">
        <v>160</v>
      </c>
      <c r="E689" s="99" t="s">
        <v>359</v>
      </c>
      <c r="F689" s="99" t="s">
        <v>682</v>
      </c>
      <c r="G689" s="100" t="s">
        <v>56</v>
      </c>
      <c r="H689" s="74">
        <f>'Пр. 9'!I152</f>
        <v>131.8</v>
      </c>
      <c r="I689" s="74">
        <f>'Пр. 9'!J152</f>
        <v>131.8</v>
      </c>
      <c r="J689" s="101">
        <f t="shared" si="53"/>
        <v>0</v>
      </c>
      <c r="K689" s="74">
        <f>'Пр. 9'!L152</f>
        <v>131.8</v>
      </c>
      <c r="L689" s="74">
        <f>'Пр. 9'!M152</f>
        <v>131.8</v>
      </c>
    </row>
    <row r="690" spans="1:12" s="4" customFormat="1" ht="15" hidden="1">
      <c r="A690" s="107" t="s">
        <v>776</v>
      </c>
      <c r="B690" s="99" t="s">
        <v>341</v>
      </c>
      <c r="C690" s="99" t="s">
        <v>132</v>
      </c>
      <c r="D690" s="99" t="s">
        <v>160</v>
      </c>
      <c r="E690" s="99" t="s">
        <v>822</v>
      </c>
      <c r="F690" s="99"/>
      <c r="G690" s="100"/>
      <c r="H690" s="74">
        <f>H691</f>
        <v>0</v>
      </c>
      <c r="I690" s="74">
        <f>I691</f>
        <v>0</v>
      </c>
      <c r="J690" s="96">
        <f t="shared" si="53"/>
        <v>0</v>
      </c>
      <c r="K690" s="74">
        <f>K691</f>
        <v>0</v>
      </c>
      <c r="L690" s="74">
        <f>L691</f>
        <v>0</v>
      </c>
    </row>
    <row r="691" spans="1:12" s="4" customFormat="1" ht="30" hidden="1">
      <c r="A691" s="102" t="s">
        <v>683</v>
      </c>
      <c r="B691" s="99" t="s">
        <v>341</v>
      </c>
      <c r="C691" s="99" t="s">
        <v>132</v>
      </c>
      <c r="D691" s="99" t="s">
        <v>160</v>
      </c>
      <c r="E691" s="99" t="s">
        <v>822</v>
      </c>
      <c r="F691" s="99" t="s">
        <v>682</v>
      </c>
      <c r="G691" s="100"/>
      <c r="H691" s="74">
        <f>H692</f>
        <v>0</v>
      </c>
      <c r="I691" s="74">
        <f>I692</f>
        <v>0</v>
      </c>
      <c r="J691" s="96">
        <f t="shared" si="53"/>
        <v>0</v>
      </c>
      <c r="K691" s="74">
        <f>K692</f>
        <v>0</v>
      </c>
      <c r="L691" s="74">
        <f>L692</f>
        <v>0</v>
      </c>
    </row>
    <row r="692" spans="1:12" s="4" customFormat="1" ht="30" hidden="1">
      <c r="A692" s="107" t="s">
        <v>355</v>
      </c>
      <c r="B692" s="99" t="s">
        <v>341</v>
      </c>
      <c r="C692" s="99" t="s">
        <v>132</v>
      </c>
      <c r="D692" s="99" t="s">
        <v>160</v>
      </c>
      <c r="E692" s="99" t="s">
        <v>822</v>
      </c>
      <c r="F692" s="99" t="s">
        <v>682</v>
      </c>
      <c r="G692" s="100" t="s">
        <v>56</v>
      </c>
      <c r="H692" s="74">
        <f>'Пр. 9'!I154</f>
        <v>0</v>
      </c>
      <c r="I692" s="74">
        <f>'Пр. 9'!J154</f>
        <v>0</v>
      </c>
      <c r="J692" s="96">
        <f t="shared" si="53"/>
        <v>0</v>
      </c>
      <c r="K692" s="74">
        <f>'Пр. 9'!L154</f>
        <v>0</v>
      </c>
      <c r="L692" s="74">
        <f>'Пр. 9'!M154</f>
        <v>0</v>
      </c>
    </row>
    <row r="693" spans="1:12" s="4" customFormat="1" ht="30" hidden="1">
      <c r="A693" s="107" t="s">
        <v>1001</v>
      </c>
      <c r="B693" s="99" t="s">
        <v>341</v>
      </c>
      <c r="C693" s="99" t="s">
        <v>132</v>
      </c>
      <c r="D693" s="99" t="s">
        <v>160</v>
      </c>
      <c r="E693" s="99" t="s">
        <v>1002</v>
      </c>
      <c r="F693" s="99"/>
      <c r="G693" s="100"/>
      <c r="H693" s="74">
        <f>H694</f>
        <v>0</v>
      </c>
      <c r="I693" s="74">
        <f>I694</f>
        <v>0</v>
      </c>
      <c r="J693" s="96">
        <f t="shared" si="53"/>
        <v>0</v>
      </c>
      <c r="K693" s="74">
        <f>K694</f>
        <v>0</v>
      </c>
      <c r="L693" s="74">
        <f>L694</f>
        <v>0</v>
      </c>
    </row>
    <row r="694" spans="1:12" s="4" customFormat="1" ht="30" hidden="1">
      <c r="A694" s="102" t="s">
        <v>683</v>
      </c>
      <c r="B694" s="99" t="s">
        <v>341</v>
      </c>
      <c r="C694" s="99" t="s">
        <v>132</v>
      </c>
      <c r="D694" s="99" t="s">
        <v>160</v>
      </c>
      <c r="E694" s="99" t="s">
        <v>1002</v>
      </c>
      <c r="F694" s="99" t="s">
        <v>682</v>
      </c>
      <c r="G694" s="100"/>
      <c r="H694" s="74">
        <f>H695</f>
        <v>0</v>
      </c>
      <c r="I694" s="74">
        <f>I695</f>
        <v>0</v>
      </c>
      <c r="J694" s="96">
        <f t="shared" si="53"/>
        <v>0</v>
      </c>
      <c r="K694" s="74">
        <f>K695</f>
        <v>0</v>
      </c>
      <c r="L694" s="74">
        <f>L695</f>
        <v>0</v>
      </c>
    </row>
    <row r="695" spans="1:12" s="4" customFormat="1" ht="30" hidden="1">
      <c r="A695" s="107" t="s">
        <v>355</v>
      </c>
      <c r="B695" s="99" t="s">
        <v>341</v>
      </c>
      <c r="C695" s="99" t="s">
        <v>132</v>
      </c>
      <c r="D695" s="99" t="s">
        <v>160</v>
      </c>
      <c r="E695" s="99" t="s">
        <v>1002</v>
      </c>
      <c r="F695" s="99" t="s">
        <v>682</v>
      </c>
      <c r="G695" s="100" t="s">
        <v>56</v>
      </c>
      <c r="H695" s="74">
        <f>'Пр. 9'!I156</f>
        <v>0</v>
      </c>
      <c r="I695" s="74">
        <f>'Пр. 9'!J156</f>
        <v>0</v>
      </c>
      <c r="J695" s="96">
        <f t="shared" si="53"/>
        <v>0</v>
      </c>
      <c r="K695" s="74">
        <f>'Пр. 9'!L156</f>
        <v>0</v>
      </c>
      <c r="L695" s="74">
        <f>'Пр. 9'!M156</f>
        <v>0</v>
      </c>
    </row>
    <row r="696" spans="1:12" s="5" customFormat="1" ht="28.5">
      <c r="A696" s="116" t="s">
        <v>360</v>
      </c>
      <c r="B696" s="67" t="s">
        <v>341</v>
      </c>
      <c r="C696" s="67" t="s">
        <v>132</v>
      </c>
      <c r="D696" s="67" t="s">
        <v>174</v>
      </c>
      <c r="E696" s="67" t="s">
        <v>150</v>
      </c>
      <c r="F696" s="67"/>
      <c r="G696" s="95"/>
      <c r="H696" s="36">
        <f>H697+H700+H703+H706</f>
        <v>288.2</v>
      </c>
      <c r="I696" s="36">
        <f>I697+I700+I703+I706</f>
        <v>288.2</v>
      </c>
      <c r="J696" s="96">
        <f t="shared" si="53"/>
        <v>0</v>
      </c>
      <c r="K696" s="36">
        <f>K697+K700+K703+K706</f>
        <v>266.6</v>
      </c>
      <c r="L696" s="36">
        <f>L697+L700+L703+L706</f>
        <v>276.6</v>
      </c>
    </row>
    <row r="697" spans="1:12" s="5" customFormat="1" ht="30" hidden="1">
      <c r="A697" s="107" t="s">
        <v>361</v>
      </c>
      <c r="B697" s="99" t="s">
        <v>341</v>
      </c>
      <c r="C697" s="99" t="s">
        <v>132</v>
      </c>
      <c r="D697" s="99" t="s">
        <v>174</v>
      </c>
      <c r="E697" s="99" t="s">
        <v>362</v>
      </c>
      <c r="F697" s="99"/>
      <c r="G697" s="100"/>
      <c r="H697" s="74">
        <f>H698</f>
        <v>0</v>
      </c>
      <c r="I697" s="74">
        <f>I698</f>
        <v>0</v>
      </c>
      <c r="J697" s="96">
        <f t="shared" si="53"/>
        <v>0</v>
      </c>
      <c r="K697" s="74">
        <f>K698</f>
        <v>0</v>
      </c>
      <c r="L697" s="74">
        <f>L698</f>
        <v>0</v>
      </c>
    </row>
    <row r="698" spans="1:12" s="4" customFormat="1" ht="30" hidden="1">
      <c r="A698" s="102" t="s">
        <v>683</v>
      </c>
      <c r="B698" s="99" t="s">
        <v>341</v>
      </c>
      <c r="C698" s="99" t="s">
        <v>132</v>
      </c>
      <c r="D698" s="99" t="s">
        <v>174</v>
      </c>
      <c r="E698" s="99" t="s">
        <v>362</v>
      </c>
      <c r="F698" s="99" t="s">
        <v>682</v>
      </c>
      <c r="G698" s="100"/>
      <c r="H698" s="74">
        <f>H699</f>
        <v>0</v>
      </c>
      <c r="I698" s="74">
        <f>I699</f>
        <v>0</v>
      </c>
      <c r="J698" s="96">
        <f t="shared" si="53"/>
        <v>0</v>
      </c>
      <c r="K698" s="74">
        <f>K699</f>
        <v>0</v>
      </c>
      <c r="L698" s="74">
        <f>L699</f>
        <v>0</v>
      </c>
    </row>
    <row r="699" spans="1:12" s="4" customFormat="1" ht="30" hidden="1">
      <c r="A699" s="107" t="s">
        <v>355</v>
      </c>
      <c r="B699" s="99" t="s">
        <v>341</v>
      </c>
      <c r="C699" s="99" t="s">
        <v>132</v>
      </c>
      <c r="D699" s="99" t="s">
        <v>174</v>
      </c>
      <c r="E699" s="99" t="s">
        <v>362</v>
      </c>
      <c r="F699" s="99" t="s">
        <v>682</v>
      </c>
      <c r="G699" s="100" t="s">
        <v>56</v>
      </c>
      <c r="H699" s="74">
        <f>'Пр. 9'!I159</f>
        <v>0</v>
      </c>
      <c r="I699" s="74">
        <f>'Пр. 9'!J159</f>
        <v>0</v>
      </c>
      <c r="J699" s="96">
        <f t="shared" si="53"/>
        <v>0</v>
      </c>
      <c r="K699" s="74">
        <f>'Пр. 9'!L159</f>
        <v>0</v>
      </c>
      <c r="L699" s="74">
        <f>'Пр. 9'!M159</f>
        <v>0</v>
      </c>
    </row>
    <row r="700" spans="1:12" s="4" customFormat="1" ht="45">
      <c r="A700" s="107" t="s">
        <v>923</v>
      </c>
      <c r="B700" s="99" t="s">
        <v>341</v>
      </c>
      <c r="C700" s="99" t="s">
        <v>132</v>
      </c>
      <c r="D700" s="99" t="s">
        <v>174</v>
      </c>
      <c r="E700" s="99" t="s">
        <v>363</v>
      </c>
      <c r="F700" s="99"/>
      <c r="G700" s="100"/>
      <c r="H700" s="74">
        <f>H701</f>
        <v>16</v>
      </c>
      <c r="I700" s="74">
        <f>I701</f>
        <v>16</v>
      </c>
      <c r="J700" s="101">
        <f t="shared" si="53"/>
        <v>0</v>
      </c>
      <c r="K700" s="74">
        <f>K701</f>
        <v>16</v>
      </c>
      <c r="L700" s="74">
        <f>L701</f>
        <v>16</v>
      </c>
    </row>
    <row r="701" spans="1:12" s="4" customFormat="1" ht="30">
      <c r="A701" s="102" t="s">
        <v>683</v>
      </c>
      <c r="B701" s="99" t="s">
        <v>341</v>
      </c>
      <c r="C701" s="99" t="s">
        <v>132</v>
      </c>
      <c r="D701" s="99" t="s">
        <v>174</v>
      </c>
      <c r="E701" s="99" t="s">
        <v>363</v>
      </c>
      <c r="F701" s="99" t="s">
        <v>682</v>
      </c>
      <c r="G701" s="100"/>
      <c r="H701" s="74">
        <f>H702</f>
        <v>16</v>
      </c>
      <c r="I701" s="74">
        <f>I702</f>
        <v>16</v>
      </c>
      <c r="J701" s="101">
        <f t="shared" si="53"/>
        <v>0</v>
      </c>
      <c r="K701" s="74">
        <f>K702</f>
        <v>16</v>
      </c>
      <c r="L701" s="74">
        <f>L702</f>
        <v>16</v>
      </c>
    </row>
    <row r="702" spans="1:12" s="4" customFormat="1" ht="30">
      <c r="A702" s="107" t="s">
        <v>355</v>
      </c>
      <c r="B702" s="99" t="s">
        <v>341</v>
      </c>
      <c r="C702" s="99" t="s">
        <v>132</v>
      </c>
      <c r="D702" s="99" t="s">
        <v>174</v>
      </c>
      <c r="E702" s="99" t="s">
        <v>363</v>
      </c>
      <c r="F702" s="99" t="s">
        <v>682</v>
      </c>
      <c r="G702" s="100" t="s">
        <v>56</v>
      </c>
      <c r="H702" s="74">
        <f>'Пр. 9'!I161</f>
        <v>16</v>
      </c>
      <c r="I702" s="74">
        <f>'Пр. 9'!J161</f>
        <v>16</v>
      </c>
      <c r="J702" s="101">
        <f t="shared" si="53"/>
        <v>0</v>
      </c>
      <c r="K702" s="74">
        <f>'Пр. 9'!L161</f>
        <v>16</v>
      </c>
      <c r="L702" s="74">
        <f>'Пр. 9'!M161</f>
        <v>16</v>
      </c>
    </row>
    <row r="703" spans="1:12" s="4" customFormat="1" ht="15">
      <c r="A703" s="107" t="s">
        <v>364</v>
      </c>
      <c r="B703" s="99" t="s">
        <v>341</v>
      </c>
      <c r="C703" s="99" t="s">
        <v>132</v>
      </c>
      <c r="D703" s="99" t="s">
        <v>174</v>
      </c>
      <c r="E703" s="99" t="s">
        <v>365</v>
      </c>
      <c r="F703" s="99"/>
      <c r="G703" s="100"/>
      <c r="H703" s="74">
        <f>H704</f>
        <v>75.6</v>
      </c>
      <c r="I703" s="74">
        <f>I704</f>
        <v>75.6</v>
      </c>
      <c r="J703" s="101">
        <f t="shared" si="53"/>
        <v>0</v>
      </c>
      <c r="K703" s="74">
        <f>K704</f>
        <v>50.6</v>
      </c>
      <c r="L703" s="74">
        <f>L704</f>
        <v>50.6</v>
      </c>
    </row>
    <row r="704" spans="1:12" s="4" customFormat="1" ht="30">
      <c r="A704" s="102" t="s">
        <v>683</v>
      </c>
      <c r="B704" s="99" t="s">
        <v>341</v>
      </c>
      <c r="C704" s="99" t="s">
        <v>132</v>
      </c>
      <c r="D704" s="99" t="s">
        <v>174</v>
      </c>
      <c r="E704" s="99" t="s">
        <v>365</v>
      </c>
      <c r="F704" s="99" t="s">
        <v>682</v>
      </c>
      <c r="G704" s="100"/>
      <c r="H704" s="74">
        <f>H705</f>
        <v>75.6</v>
      </c>
      <c r="I704" s="74">
        <f>I705</f>
        <v>75.6</v>
      </c>
      <c r="J704" s="101">
        <f t="shared" si="53"/>
        <v>0</v>
      </c>
      <c r="K704" s="74">
        <f>K705</f>
        <v>50.6</v>
      </c>
      <c r="L704" s="74">
        <f>L705</f>
        <v>50.6</v>
      </c>
    </row>
    <row r="705" spans="1:12" s="4" customFormat="1" ht="30">
      <c r="A705" s="107" t="s">
        <v>355</v>
      </c>
      <c r="B705" s="99" t="s">
        <v>341</v>
      </c>
      <c r="C705" s="99" t="s">
        <v>132</v>
      </c>
      <c r="D705" s="99" t="s">
        <v>174</v>
      </c>
      <c r="E705" s="99" t="s">
        <v>365</v>
      </c>
      <c r="F705" s="99" t="s">
        <v>682</v>
      </c>
      <c r="G705" s="100" t="s">
        <v>56</v>
      </c>
      <c r="H705" s="74">
        <f>'Пр. 9'!I163</f>
        <v>75.6</v>
      </c>
      <c r="I705" s="74">
        <f>'Пр. 9'!J163</f>
        <v>75.6</v>
      </c>
      <c r="J705" s="101">
        <f t="shared" si="53"/>
        <v>0</v>
      </c>
      <c r="K705" s="74">
        <f>'Пр. 9'!L163</f>
        <v>50.6</v>
      </c>
      <c r="L705" s="74">
        <f>'Пр. 9'!M163</f>
        <v>50.6</v>
      </c>
    </row>
    <row r="706" spans="1:12" s="4" customFormat="1" ht="30">
      <c r="A706" s="107" t="s">
        <v>366</v>
      </c>
      <c r="B706" s="99" t="s">
        <v>341</v>
      </c>
      <c r="C706" s="99" t="s">
        <v>132</v>
      </c>
      <c r="D706" s="99" t="s">
        <v>174</v>
      </c>
      <c r="E706" s="99" t="s">
        <v>367</v>
      </c>
      <c r="F706" s="99"/>
      <c r="G706" s="100"/>
      <c r="H706" s="74">
        <f>H707</f>
        <v>196.6</v>
      </c>
      <c r="I706" s="74">
        <f>I707</f>
        <v>196.6</v>
      </c>
      <c r="J706" s="101">
        <f t="shared" si="53"/>
        <v>0</v>
      </c>
      <c r="K706" s="74">
        <f>K707</f>
        <v>200</v>
      </c>
      <c r="L706" s="74">
        <f>L707</f>
        <v>210</v>
      </c>
    </row>
    <row r="707" spans="1:12" s="4" customFormat="1" ht="15">
      <c r="A707" s="107" t="s">
        <v>690</v>
      </c>
      <c r="B707" s="99" t="s">
        <v>341</v>
      </c>
      <c r="C707" s="99" t="s">
        <v>132</v>
      </c>
      <c r="D707" s="99" t="s">
        <v>174</v>
      </c>
      <c r="E707" s="99" t="s">
        <v>367</v>
      </c>
      <c r="F707" s="99" t="s">
        <v>691</v>
      </c>
      <c r="G707" s="100"/>
      <c r="H707" s="74">
        <f>H708</f>
        <v>196.6</v>
      </c>
      <c r="I707" s="74">
        <f>I708</f>
        <v>196.6</v>
      </c>
      <c r="J707" s="101">
        <f t="shared" si="53"/>
        <v>0</v>
      </c>
      <c r="K707" s="74">
        <f>K708</f>
        <v>200</v>
      </c>
      <c r="L707" s="74">
        <f>L708</f>
        <v>210</v>
      </c>
    </row>
    <row r="708" spans="1:12" s="4" customFormat="1" ht="30">
      <c r="A708" s="107" t="s">
        <v>355</v>
      </c>
      <c r="B708" s="99" t="s">
        <v>341</v>
      </c>
      <c r="C708" s="99" t="s">
        <v>132</v>
      </c>
      <c r="D708" s="99" t="s">
        <v>174</v>
      </c>
      <c r="E708" s="99" t="s">
        <v>367</v>
      </c>
      <c r="F708" s="99" t="s">
        <v>691</v>
      </c>
      <c r="G708" s="100" t="s">
        <v>56</v>
      </c>
      <c r="H708" s="74">
        <f>'Пр. 9'!I165</f>
        <v>196.6</v>
      </c>
      <c r="I708" s="74">
        <f>'Пр. 9'!J165</f>
        <v>196.6</v>
      </c>
      <c r="J708" s="101">
        <f t="shared" si="53"/>
        <v>0</v>
      </c>
      <c r="K708" s="74">
        <f>'Пр. 9'!L165</f>
        <v>200</v>
      </c>
      <c r="L708" s="74">
        <f>'Пр. 9'!M165</f>
        <v>210</v>
      </c>
    </row>
    <row r="709" spans="1:12" s="5" customFormat="1" ht="28.5">
      <c r="A709" s="97" t="s">
        <v>368</v>
      </c>
      <c r="B709" s="67" t="s">
        <v>341</v>
      </c>
      <c r="C709" s="67" t="s">
        <v>132</v>
      </c>
      <c r="D709" s="67" t="s">
        <v>187</v>
      </c>
      <c r="E709" s="67" t="s">
        <v>150</v>
      </c>
      <c r="F709" s="67"/>
      <c r="G709" s="95"/>
      <c r="H709" s="36">
        <f aca="true" t="shared" si="54" ref="H709:I711">H710</f>
        <v>196.6</v>
      </c>
      <c r="I709" s="36">
        <f t="shared" si="54"/>
        <v>196.6</v>
      </c>
      <c r="J709" s="96">
        <f t="shared" si="53"/>
        <v>0</v>
      </c>
      <c r="K709" s="36">
        <f aca="true" t="shared" si="55" ref="K709:L711">K710</f>
        <v>208.5</v>
      </c>
      <c r="L709" s="36">
        <f t="shared" si="55"/>
        <v>211.9</v>
      </c>
    </row>
    <row r="710" spans="1:12" s="4" customFormat="1" ht="30">
      <c r="A710" s="107" t="s">
        <v>142</v>
      </c>
      <c r="B710" s="99" t="s">
        <v>341</v>
      </c>
      <c r="C710" s="99" t="s">
        <v>132</v>
      </c>
      <c r="D710" s="99" t="s">
        <v>187</v>
      </c>
      <c r="E710" s="99" t="s">
        <v>369</v>
      </c>
      <c r="F710" s="99"/>
      <c r="G710" s="100"/>
      <c r="H710" s="74">
        <f t="shared" si="54"/>
        <v>196.6</v>
      </c>
      <c r="I710" s="74">
        <f t="shared" si="54"/>
        <v>196.6</v>
      </c>
      <c r="J710" s="101">
        <f t="shared" si="53"/>
        <v>0</v>
      </c>
      <c r="K710" s="74">
        <f t="shared" si="55"/>
        <v>208.5</v>
      </c>
      <c r="L710" s="74">
        <f t="shared" si="55"/>
        <v>211.9</v>
      </c>
    </row>
    <row r="711" spans="1:12" s="4" customFormat="1" ht="15">
      <c r="A711" s="22" t="s">
        <v>690</v>
      </c>
      <c r="B711" s="99" t="s">
        <v>341</v>
      </c>
      <c r="C711" s="99" t="s">
        <v>132</v>
      </c>
      <c r="D711" s="99" t="s">
        <v>187</v>
      </c>
      <c r="E711" s="99" t="s">
        <v>369</v>
      </c>
      <c r="F711" s="99" t="s">
        <v>691</v>
      </c>
      <c r="G711" s="100"/>
      <c r="H711" s="74">
        <f t="shared" si="54"/>
        <v>196.6</v>
      </c>
      <c r="I711" s="74">
        <f t="shared" si="54"/>
        <v>196.6</v>
      </c>
      <c r="J711" s="101">
        <f t="shared" si="53"/>
        <v>0</v>
      </c>
      <c r="K711" s="74">
        <f t="shared" si="55"/>
        <v>208.5</v>
      </c>
      <c r="L711" s="74">
        <f t="shared" si="55"/>
        <v>211.9</v>
      </c>
    </row>
    <row r="712" spans="1:12" s="4" customFormat="1" ht="30">
      <c r="A712" s="107" t="s">
        <v>355</v>
      </c>
      <c r="B712" s="99" t="s">
        <v>341</v>
      </c>
      <c r="C712" s="99" t="s">
        <v>132</v>
      </c>
      <c r="D712" s="99" t="s">
        <v>187</v>
      </c>
      <c r="E712" s="99" t="s">
        <v>369</v>
      </c>
      <c r="F712" s="99" t="s">
        <v>691</v>
      </c>
      <c r="G712" s="100" t="s">
        <v>56</v>
      </c>
      <c r="H712" s="74">
        <f>'Пр. 9'!I168</f>
        <v>196.6</v>
      </c>
      <c r="I712" s="74">
        <f>'Пр. 9'!J168</f>
        <v>196.6</v>
      </c>
      <c r="J712" s="101">
        <f t="shared" si="53"/>
        <v>0</v>
      </c>
      <c r="K712" s="74">
        <f>'Пр. 9'!L168</f>
        <v>208.5</v>
      </c>
      <c r="L712" s="74">
        <f>'Пр. 9'!M168</f>
        <v>211.9</v>
      </c>
    </row>
    <row r="713" spans="1:12" s="5" customFormat="1" ht="42.75">
      <c r="A713" s="110" t="s">
        <v>783</v>
      </c>
      <c r="B713" s="67" t="s">
        <v>345</v>
      </c>
      <c r="C713" s="67" t="s">
        <v>148</v>
      </c>
      <c r="D713" s="67" t="s">
        <v>149</v>
      </c>
      <c r="E713" s="67" t="s">
        <v>150</v>
      </c>
      <c r="F713" s="67"/>
      <c r="G713" s="95"/>
      <c r="H713" s="36">
        <f>H714+H732+H737+H745</f>
        <v>6398.3</v>
      </c>
      <c r="I713" s="36">
        <f>I714+I732+I737+I745</f>
        <v>6398.3</v>
      </c>
      <c r="J713" s="96">
        <f t="shared" si="53"/>
        <v>0</v>
      </c>
      <c r="K713" s="36">
        <f>K714+K732+K737+K745</f>
        <v>6005.2</v>
      </c>
      <c r="L713" s="36">
        <f>L714+L732+L737+L745</f>
        <v>6020.2</v>
      </c>
    </row>
    <row r="714" spans="1:12" s="5" customFormat="1" ht="14.25">
      <c r="A714" s="97" t="s">
        <v>378</v>
      </c>
      <c r="B714" s="67" t="s">
        <v>345</v>
      </c>
      <c r="C714" s="67" t="s">
        <v>131</v>
      </c>
      <c r="D714" s="67" t="s">
        <v>149</v>
      </c>
      <c r="E714" s="67" t="s">
        <v>150</v>
      </c>
      <c r="F714" s="67"/>
      <c r="G714" s="95"/>
      <c r="H714" s="36">
        <f>H715+H728</f>
        <v>3688.8</v>
      </c>
      <c r="I714" s="36">
        <f>I715+I728</f>
        <v>3688.8</v>
      </c>
      <c r="J714" s="96">
        <f t="shared" si="53"/>
        <v>0</v>
      </c>
      <c r="K714" s="36">
        <f>K715+K728</f>
        <v>3964.5</v>
      </c>
      <c r="L714" s="36">
        <f>L715+L728</f>
        <v>3980.5</v>
      </c>
    </row>
    <row r="715" spans="1:12" s="5" customFormat="1" ht="42.75">
      <c r="A715" s="116" t="s">
        <v>379</v>
      </c>
      <c r="B715" s="67" t="s">
        <v>345</v>
      </c>
      <c r="C715" s="67" t="s">
        <v>131</v>
      </c>
      <c r="D715" s="67" t="s">
        <v>147</v>
      </c>
      <c r="E715" s="67" t="s">
        <v>150</v>
      </c>
      <c r="F715" s="67"/>
      <c r="G715" s="95"/>
      <c r="H715" s="36">
        <f>H716+H719+H722+H725</f>
        <v>3661.8</v>
      </c>
      <c r="I715" s="36">
        <f>I716+I719+I722+I725</f>
        <v>3661.8</v>
      </c>
      <c r="J715" s="96">
        <f t="shared" si="53"/>
        <v>0</v>
      </c>
      <c r="K715" s="36">
        <f>K716+K719+K722+K725</f>
        <v>3937.5</v>
      </c>
      <c r="L715" s="36">
        <f>L716+L719+L722+L725</f>
        <v>3953.5</v>
      </c>
    </row>
    <row r="716" spans="1:12" s="5" customFormat="1" ht="75">
      <c r="A716" s="107" t="s">
        <v>380</v>
      </c>
      <c r="B716" s="99" t="s">
        <v>345</v>
      </c>
      <c r="C716" s="99" t="s">
        <v>131</v>
      </c>
      <c r="D716" s="99" t="s">
        <v>147</v>
      </c>
      <c r="E716" s="99" t="s">
        <v>381</v>
      </c>
      <c r="F716" s="99"/>
      <c r="G716" s="100"/>
      <c r="H716" s="74">
        <f>H717</f>
        <v>2996</v>
      </c>
      <c r="I716" s="74">
        <f>I717</f>
        <v>2996</v>
      </c>
      <c r="J716" s="101">
        <f t="shared" si="53"/>
        <v>0</v>
      </c>
      <c r="K716" s="74">
        <f>K717</f>
        <v>3107</v>
      </c>
      <c r="L716" s="74">
        <f>L717</f>
        <v>3123</v>
      </c>
    </row>
    <row r="717" spans="1:12" s="5" customFormat="1" ht="30">
      <c r="A717" s="102" t="s">
        <v>683</v>
      </c>
      <c r="B717" s="99" t="s">
        <v>345</v>
      </c>
      <c r="C717" s="99" t="s">
        <v>131</v>
      </c>
      <c r="D717" s="99" t="s">
        <v>147</v>
      </c>
      <c r="E717" s="99" t="s">
        <v>381</v>
      </c>
      <c r="F717" s="99" t="s">
        <v>682</v>
      </c>
      <c r="G717" s="100"/>
      <c r="H717" s="74">
        <f>H718</f>
        <v>2996</v>
      </c>
      <c r="I717" s="74">
        <f>I718</f>
        <v>2996</v>
      </c>
      <c r="J717" s="101">
        <f t="shared" si="53"/>
        <v>0</v>
      </c>
      <c r="K717" s="74">
        <f>K718</f>
        <v>3107</v>
      </c>
      <c r="L717" s="74">
        <f>L718</f>
        <v>3123</v>
      </c>
    </row>
    <row r="718" spans="1:12" s="4" customFormat="1" ht="15">
      <c r="A718" s="102" t="s">
        <v>51</v>
      </c>
      <c r="B718" s="99" t="s">
        <v>345</v>
      </c>
      <c r="C718" s="99" t="s">
        <v>131</v>
      </c>
      <c r="D718" s="99" t="s">
        <v>147</v>
      </c>
      <c r="E718" s="99" t="s">
        <v>381</v>
      </c>
      <c r="F718" s="99" t="s">
        <v>682</v>
      </c>
      <c r="G718" s="100" t="s">
        <v>52</v>
      </c>
      <c r="H718" s="74">
        <f>'Пр. 9'!I87+'Пр. 9'!I795+'Пр. 9'!I817</f>
        <v>2996</v>
      </c>
      <c r="I718" s="74">
        <f>'Пр. 9'!J87+'Пр. 9'!J795+'Пр. 9'!J817</f>
        <v>2996</v>
      </c>
      <c r="J718" s="101">
        <f t="shared" si="53"/>
        <v>0</v>
      </c>
      <c r="K718" s="74">
        <f>'Пр. 9'!L87+'Пр. 9'!L795+'Пр. 9'!L817</f>
        <v>3107</v>
      </c>
      <c r="L718" s="74">
        <f>'Пр. 9'!M87+'Пр. 9'!M795+'Пр. 9'!M817</f>
        <v>3123</v>
      </c>
    </row>
    <row r="719" spans="1:12" s="5" customFormat="1" ht="45">
      <c r="A719" s="107" t="s">
        <v>382</v>
      </c>
      <c r="B719" s="99" t="s">
        <v>345</v>
      </c>
      <c r="C719" s="99" t="s">
        <v>131</v>
      </c>
      <c r="D719" s="99" t="s">
        <v>147</v>
      </c>
      <c r="E719" s="99" t="s">
        <v>383</v>
      </c>
      <c r="F719" s="99"/>
      <c r="G719" s="100"/>
      <c r="H719" s="74">
        <f>H720</f>
        <v>0</v>
      </c>
      <c r="I719" s="74">
        <f>I720</f>
        <v>0</v>
      </c>
      <c r="J719" s="101">
        <f t="shared" si="53"/>
        <v>0</v>
      </c>
      <c r="K719" s="74">
        <f>K720</f>
        <v>124</v>
      </c>
      <c r="L719" s="74">
        <f>L720</f>
        <v>124</v>
      </c>
    </row>
    <row r="720" spans="1:12" s="4" customFormat="1" ht="30">
      <c r="A720" s="102" t="s">
        <v>683</v>
      </c>
      <c r="B720" s="99" t="s">
        <v>345</v>
      </c>
      <c r="C720" s="99" t="s">
        <v>131</v>
      </c>
      <c r="D720" s="99" t="s">
        <v>147</v>
      </c>
      <c r="E720" s="99" t="s">
        <v>383</v>
      </c>
      <c r="F720" s="99" t="s">
        <v>682</v>
      </c>
      <c r="G720" s="100"/>
      <c r="H720" s="74">
        <f>H721</f>
        <v>0</v>
      </c>
      <c r="I720" s="74">
        <f>I721</f>
        <v>0</v>
      </c>
      <c r="J720" s="101">
        <f t="shared" si="53"/>
        <v>0</v>
      </c>
      <c r="K720" s="74">
        <f>K721</f>
        <v>124</v>
      </c>
      <c r="L720" s="74">
        <f>L721</f>
        <v>124</v>
      </c>
    </row>
    <row r="721" spans="1:12" s="4" customFormat="1" ht="15">
      <c r="A721" s="102" t="s">
        <v>51</v>
      </c>
      <c r="B721" s="99" t="s">
        <v>345</v>
      </c>
      <c r="C721" s="99" t="s">
        <v>131</v>
      </c>
      <c r="D721" s="99" t="s">
        <v>147</v>
      </c>
      <c r="E721" s="99" t="s">
        <v>383</v>
      </c>
      <c r="F721" s="99" t="s">
        <v>682</v>
      </c>
      <c r="G721" s="100" t="s">
        <v>52</v>
      </c>
      <c r="H721" s="74">
        <f>'Пр. 9'!I89</f>
        <v>0</v>
      </c>
      <c r="I721" s="74">
        <f>'Пр. 9'!J89</f>
        <v>0</v>
      </c>
      <c r="J721" s="101">
        <f t="shared" si="53"/>
        <v>0</v>
      </c>
      <c r="K721" s="74">
        <f>'Пр. 9'!L89</f>
        <v>124</v>
      </c>
      <c r="L721" s="74">
        <f>'Пр. 9'!M89</f>
        <v>124</v>
      </c>
    </row>
    <row r="722" spans="1:12" s="4" customFormat="1" ht="45">
      <c r="A722" s="107" t="s">
        <v>823</v>
      </c>
      <c r="B722" s="99" t="s">
        <v>345</v>
      </c>
      <c r="C722" s="99" t="s">
        <v>131</v>
      </c>
      <c r="D722" s="99" t="s">
        <v>147</v>
      </c>
      <c r="E722" s="99" t="s">
        <v>384</v>
      </c>
      <c r="F722" s="99"/>
      <c r="G722" s="100"/>
      <c r="H722" s="74">
        <f>H723</f>
        <v>6.5</v>
      </c>
      <c r="I722" s="74">
        <f>I723</f>
        <v>6.5</v>
      </c>
      <c r="J722" s="101">
        <f t="shared" si="53"/>
        <v>0</v>
      </c>
      <c r="K722" s="74">
        <f>K723</f>
        <v>6.5</v>
      </c>
      <c r="L722" s="74">
        <f>L723</f>
        <v>6.5</v>
      </c>
    </row>
    <row r="723" spans="1:12" s="4" customFormat="1" ht="30">
      <c r="A723" s="102" t="s">
        <v>683</v>
      </c>
      <c r="B723" s="99" t="s">
        <v>345</v>
      </c>
      <c r="C723" s="99" t="s">
        <v>131</v>
      </c>
      <c r="D723" s="99" t="s">
        <v>147</v>
      </c>
      <c r="E723" s="99" t="s">
        <v>384</v>
      </c>
      <c r="F723" s="99" t="s">
        <v>682</v>
      </c>
      <c r="G723" s="100"/>
      <c r="H723" s="74">
        <f>H724</f>
        <v>6.5</v>
      </c>
      <c r="I723" s="74">
        <f>I724</f>
        <v>6.5</v>
      </c>
      <c r="J723" s="101">
        <f t="shared" si="53"/>
        <v>0</v>
      </c>
      <c r="K723" s="74">
        <f>K724</f>
        <v>6.5</v>
      </c>
      <c r="L723" s="74">
        <f>L724</f>
        <v>6.5</v>
      </c>
    </row>
    <row r="724" spans="1:12" s="4" customFormat="1" ht="15">
      <c r="A724" s="102" t="s">
        <v>51</v>
      </c>
      <c r="B724" s="99" t="s">
        <v>345</v>
      </c>
      <c r="C724" s="99" t="s">
        <v>131</v>
      </c>
      <c r="D724" s="99" t="s">
        <v>147</v>
      </c>
      <c r="E724" s="99" t="s">
        <v>384</v>
      </c>
      <c r="F724" s="99" t="s">
        <v>682</v>
      </c>
      <c r="G724" s="100" t="s">
        <v>52</v>
      </c>
      <c r="H724" s="74">
        <f>'Пр. 9'!I91</f>
        <v>6.5</v>
      </c>
      <c r="I724" s="74">
        <f>'Пр. 9'!J91</f>
        <v>6.5</v>
      </c>
      <c r="J724" s="101">
        <f t="shared" si="53"/>
        <v>0</v>
      </c>
      <c r="K724" s="74">
        <f>'Пр. 9'!L91</f>
        <v>6.5</v>
      </c>
      <c r="L724" s="74">
        <f>'Пр. 9'!M91</f>
        <v>6.5</v>
      </c>
    </row>
    <row r="725" spans="1:12" s="4" customFormat="1" ht="30">
      <c r="A725" s="107" t="s">
        <v>385</v>
      </c>
      <c r="B725" s="99" t="s">
        <v>345</v>
      </c>
      <c r="C725" s="99" t="s">
        <v>131</v>
      </c>
      <c r="D725" s="99" t="s">
        <v>147</v>
      </c>
      <c r="E725" s="99" t="s">
        <v>386</v>
      </c>
      <c r="F725" s="99"/>
      <c r="G725" s="100"/>
      <c r="H725" s="74">
        <f>H726</f>
        <v>659.3</v>
      </c>
      <c r="I725" s="74">
        <f>I726</f>
        <v>659.3</v>
      </c>
      <c r="J725" s="101">
        <f t="shared" si="53"/>
        <v>0</v>
      </c>
      <c r="K725" s="74">
        <f>K726</f>
        <v>700</v>
      </c>
      <c r="L725" s="74">
        <f>L726</f>
        <v>700</v>
      </c>
    </row>
    <row r="726" spans="1:12" s="4" customFormat="1" ht="30">
      <c r="A726" s="102" t="s">
        <v>683</v>
      </c>
      <c r="B726" s="99" t="s">
        <v>345</v>
      </c>
      <c r="C726" s="99" t="s">
        <v>131</v>
      </c>
      <c r="D726" s="99" t="s">
        <v>147</v>
      </c>
      <c r="E726" s="99" t="s">
        <v>386</v>
      </c>
      <c r="F726" s="99" t="s">
        <v>682</v>
      </c>
      <c r="G726" s="100"/>
      <c r="H726" s="74">
        <f>H727</f>
        <v>659.3</v>
      </c>
      <c r="I726" s="74">
        <f>I727</f>
        <v>659.3</v>
      </c>
      <c r="J726" s="101">
        <f t="shared" si="53"/>
        <v>0</v>
      </c>
      <c r="K726" s="74">
        <f>K727</f>
        <v>700</v>
      </c>
      <c r="L726" s="74">
        <f>L727</f>
        <v>700</v>
      </c>
    </row>
    <row r="727" spans="1:12" s="4" customFormat="1" ht="15">
      <c r="A727" s="102" t="s">
        <v>51</v>
      </c>
      <c r="B727" s="99" t="s">
        <v>345</v>
      </c>
      <c r="C727" s="99" t="s">
        <v>131</v>
      </c>
      <c r="D727" s="99" t="s">
        <v>147</v>
      </c>
      <c r="E727" s="99" t="s">
        <v>386</v>
      </c>
      <c r="F727" s="99" t="s">
        <v>682</v>
      </c>
      <c r="G727" s="100" t="s">
        <v>52</v>
      </c>
      <c r="H727" s="74">
        <f>'Пр. 9'!I93</f>
        <v>659.3</v>
      </c>
      <c r="I727" s="74">
        <f>'Пр. 9'!J93</f>
        <v>659.3</v>
      </c>
      <c r="J727" s="101">
        <f t="shared" si="53"/>
        <v>0</v>
      </c>
      <c r="K727" s="74">
        <f>'Пр. 9'!L93</f>
        <v>700</v>
      </c>
      <c r="L727" s="74">
        <f>'Пр. 9'!M93</f>
        <v>700</v>
      </c>
    </row>
    <row r="728" spans="1:12" s="5" customFormat="1" ht="42.75">
      <c r="A728" s="116" t="s">
        <v>784</v>
      </c>
      <c r="B728" s="67" t="s">
        <v>345</v>
      </c>
      <c r="C728" s="67" t="s">
        <v>131</v>
      </c>
      <c r="D728" s="67" t="s">
        <v>160</v>
      </c>
      <c r="E728" s="67" t="s">
        <v>150</v>
      </c>
      <c r="F728" s="67"/>
      <c r="G728" s="95"/>
      <c r="H728" s="36">
        <f aca="true" t="shared" si="56" ref="H728:I730">H729</f>
        <v>27</v>
      </c>
      <c r="I728" s="36">
        <f t="shared" si="56"/>
        <v>27</v>
      </c>
      <c r="J728" s="96">
        <f t="shared" si="53"/>
        <v>0</v>
      </c>
      <c r="K728" s="36">
        <f aca="true" t="shared" si="57" ref="K728:L730">K729</f>
        <v>27</v>
      </c>
      <c r="L728" s="36">
        <f t="shared" si="57"/>
        <v>27</v>
      </c>
    </row>
    <row r="729" spans="1:12" s="4" customFormat="1" ht="30">
      <c r="A729" s="102" t="s">
        <v>377</v>
      </c>
      <c r="B729" s="99" t="s">
        <v>345</v>
      </c>
      <c r="C729" s="99" t="s">
        <v>131</v>
      </c>
      <c r="D729" s="99" t="s">
        <v>160</v>
      </c>
      <c r="E729" s="99" t="s">
        <v>744</v>
      </c>
      <c r="F729" s="99"/>
      <c r="G729" s="100"/>
      <c r="H729" s="74">
        <f t="shared" si="56"/>
        <v>27</v>
      </c>
      <c r="I729" s="74">
        <f t="shared" si="56"/>
        <v>27</v>
      </c>
      <c r="J729" s="101">
        <f t="shared" si="53"/>
        <v>0</v>
      </c>
      <c r="K729" s="74">
        <f t="shared" si="57"/>
        <v>27</v>
      </c>
      <c r="L729" s="74">
        <f t="shared" si="57"/>
        <v>27</v>
      </c>
    </row>
    <row r="730" spans="1:12" s="5" customFormat="1" ht="30">
      <c r="A730" s="102" t="s">
        <v>683</v>
      </c>
      <c r="B730" s="99" t="s">
        <v>345</v>
      </c>
      <c r="C730" s="99" t="s">
        <v>131</v>
      </c>
      <c r="D730" s="99" t="s">
        <v>160</v>
      </c>
      <c r="E730" s="99" t="s">
        <v>744</v>
      </c>
      <c r="F730" s="99" t="s">
        <v>682</v>
      </c>
      <c r="G730" s="100"/>
      <c r="H730" s="74">
        <f t="shared" si="56"/>
        <v>27</v>
      </c>
      <c r="I730" s="74">
        <f t="shared" si="56"/>
        <v>27</v>
      </c>
      <c r="J730" s="101">
        <f t="shared" si="53"/>
        <v>0</v>
      </c>
      <c r="K730" s="74">
        <f t="shared" si="57"/>
        <v>27</v>
      </c>
      <c r="L730" s="74">
        <f t="shared" si="57"/>
        <v>27</v>
      </c>
    </row>
    <row r="731" spans="1:12" s="5" customFormat="1" ht="15">
      <c r="A731" s="102" t="s">
        <v>51</v>
      </c>
      <c r="B731" s="99" t="s">
        <v>345</v>
      </c>
      <c r="C731" s="99" t="s">
        <v>131</v>
      </c>
      <c r="D731" s="99" t="s">
        <v>160</v>
      </c>
      <c r="E731" s="99" t="s">
        <v>744</v>
      </c>
      <c r="F731" s="99" t="s">
        <v>682</v>
      </c>
      <c r="G731" s="100" t="s">
        <v>52</v>
      </c>
      <c r="H731" s="74">
        <f>'Пр. 9'!I96</f>
        <v>27</v>
      </c>
      <c r="I731" s="74">
        <f>'Пр. 9'!J96</f>
        <v>27</v>
      </c>
      <c r="J731" s="101">
        <f t="shared" si="53"/>
        <v>0</v>
      </c>
      <c r="K731" s="74">
        <f>'Пр. 9'!L96</f>
        <v>27</v>
      </c>
      <c r="L731" s="74">
        <f>'Пр. 9'!M96</f>
        <v>27</v>
      </c>
    </row>
    <row r="732" spans="1:12" s="4" customFormat="1" ht="42.75">
      <c r="A732" s="116" t="s">
        <v>785</v>
      </c>
      <c r="B732" s="67" t="s">
        <v>345</v>
      </c>
      <c r="C732" s="67" t="s">
        <v>132</v>
      </c>
      <c r="D732" s="67" t="s">
        <v>149</v>
      </c>
      <c r="E732" s="67" t="s">
        <v>150</v>
      </c>
      <c r="F732" s="67"/>
      <c r="G732" s="95"/>
      <c r="H732" s="36">
        <f aca="true" t="shared" si="58" ref="H732:I735">H733</f>
        <v>51.7</v>
      </c>
      <c r="I732" s="36">
        <f t="shared" si="58"/>
        <v>51.7</v>
      </c>
      <c r="J732" s="96">
        <f t="shared" si="53"/>
        <v>0</v>
      </c>
      <c r="K732" s="36">
        <f>K733</f>
        <v>51.7</v>
      </c>
      <c r="L732" s="36">
        <f>L733</f>
        <v>51.7</v>
      </c>
    </row>
    <row r="733" spans="1:12" s="5" customFormat="1" ht="28.5">
      <c r="A733" s="116" t="s">
        <v>786</v>
      </c>
      <c r="B733" s="67" t="s">
        <v>345</v>
      </c>
      <c r="C733" s="67" t="s">
        <v>132</v>
      </c>
      <c r="D733" s="67" t="s">
        <v>147</v>
      </c>
      <c r="E733" s="67" t="s">
        <v>150</v>
      </c>
      <c r="F733" s="67"/>
      <c r="G733" s="95"/>
      <c r="H733" s="36">
        <f t="shared" si="58"/>
        <v>51.7</v>
      </c>
      <c r="I733" s="36">
        <f t="shared" si="58"/>
        <v>51.7</v>
      </c>
      <c r="J733" s="96">
        <f t="shared" si="53"/>
        <v>0</v>
      </c>
      <c r="K733" s="36">
        <f aca="true" t="shared" si="59" ref="K733:L735">K734</f>
        <v>51.7</v>
      </c>
      <c r="L733" s="36">
        <f t="shared" si="59"/>
        <v>51.7</v>
      </c>
    </row>
    <row r="734" spans="1:12" s="4" customFormat="1" ht="38.25" customHeight="1">
      <c r="A734" s="102" t="s">
        <v>337</v>
      </c>
      <c r="B734" s="99" t="s">
        <v>345</v>
      </c>
      <c r="C734" s="99" t="s">
        <v>132</v>
      </c>
      <c r="D734" s="99" t="s">
        <v>147</v>
      </c>
      <c r="E734" s="99" t="s">
        <v>338</v>
      </c>
      <c r="F734" s="99"/>
      <c r="G734" s="100"/>
      <c r="H734" s="74">
        <f t="shared" si="58"/>
        <v>51.7</v>
      </c>
      <c r="I734" s="74">
        <f t="shared" si="58"/>
        <v>51.7</v>
      </c>
      <c r="J734" s="101">
        <f t="shared" si="53"/>
        <v>0</v>
      </c>
      <c r="K734" s="74">
        <f t="shared" si="59"/>
        <v>51.7</v>
      </c>
      <c r="L734" s="74">
        <f t="shared" si="59"/>
        <v>51.7</v>
      </c>
    </row>
    <row r="735" spans="1:12" s="4" customFormat="1" ht="30">
      <c r="A735" s="102" t="s">
        <v>683</v>
      </c>
      <c r="B735" s="99" t="s">
        <v>345</v>
      </c>
      <c r="C735" s="99" t="s">
        <v>132</v>
      </c>
      <c r="D735" s="99" t="s">
        <v>147</v>
      </c>
      <c r="E735" s="99" t="s">
        <v>338</v>
      </c>
      <c r="F735" s="99" t="s">
        <v>682</v>
      </c>
      <c r="G735" s="100"/>
      <c r="H735" s="74">
        <f t="shared" si="58"/>
        <v>51.7</v>
      </c>
      <c r="I735" s="74">
        <f t="shared" si="58"/>
        <v>51.7</v>
      </c>
      <c r="J735" s="101">
        <f t="shared" si="53"/>
        <v>0</v>
      </c>
      <c r="K735" s="74">
        <f t="shared" si="59"/>
        <v>51.7</v>
      </c>
      <c r="L735" s="74">
        <f t="shared" si="59"/>
        <v>51.7</v>
      </c>
    </row>
    <row r="736" spans="1:12" s="4" customFormat="1" ht="15">
      <c r="A736" s="102" t="s">
        <v>51</v>
      </c>
      <c r="B736" s="99" t="s">
        <v>345</v>
      </c>
      <c r="C736" s="99" t="s">
        <v>132</v>
      </c>
      <c r="D736" s="99" t="s">
        <v>147</v>
      </c>
      <c r="E736" s="99" t="s">
        <v>338</v>
      </c>
      <c r="F736" s="99" t="s">
        <v>682</v>
      </c>
      <c r="G736" s="100" t="s">
        <v>52</v>
      </c>
      <c r="H736" s="74">
        <f>'Пр. 9'!I100</f>
        <v>51.7</v>
      </c>
      <c r="I736" s="74">
        <f>'Пр. 9'!J100</f>
        <v>51.7</v>
      </c>
      <c r="J736" s="101">
        <f t="shared" si="53"/>
        <v>0</v>
      </c>
      <c r="K736" s="74">
        <f>'Пр. 9'!L100</f>
        <v>51.7</v>
      </c>
      <c r="L736" s="74">
        <f>'Пр. 9'!M100</f>
        <v>51.7</v>
      </c>
    </row>
    <row r="737" spans="1:12" s="5" customFormat="1" ht="42.75">
      <c r="A737" s="97" t="s">
        <v>393</v>
      </c>
      <c r="B737" s="67" t="s">
        <v>345</v>
      </c>
      <c r="C737" s="67" t="s">
        <v>134</v>
      </c>
      <c r="D737" s="67" t="s">
        <v>149</v>
      </c>
      <c r="E737" s="67" t="s">
        <v>150</v>
      </c>
      <c r="F737" s="67"/>
      <c r="G737" s="95"/>
      <c r="H737" s="36">
        <f>H738</f>
        <v>2353.8</v>
      </c>
      <c r="I737" s="36">
        <f>I738</f>
        <v>2353.8</v>
      </c>
      <c r="J737" s="96">
        <f t="shared" si="53"/>
        <v>0</v>
      </c>
      <c r="K737" s="36">
        <f aca="true" t="shared" si="60" ref="K737:L740">K738</f>
        <v>1684</v>
      </c>
      <c r="L737" s="36">
        <f t="shared" si="60"/>
        <v>1684</v>
      </c>
    </row>
    <row r="738" spans="1:12" s="5" customFormat="1" ht="57">
      <c r="A738" s="116" t="s">
        <v>787</v>
      </c>
      <c r="B738" s="67" t="s">
        <v>345</v>
      </c>
      <c r="C738" s="67" t="s">
        <v>134</v>
      </c>
      <c r="D738" s="67" t="s">
        <v>147</v>
      </c>
      <c r="E738" s="67" t="s">
        <v>150</v>
      </c>
      <c r="F738" s="67"/>
      <c r="G738" s="95"/>
      <c r="H738" s="36">
        <f>H739+H742</f>
        <v>2353.8</v>
      </c>
      <c r="I738" s="36">
        <f>I739+I742</f>
        <v>2353.8</v>
      </c>
      <c r="J738" s="96">
        <f t="shared" si="53"/>
        <v>0</v>
      </c>
      <c r="K738" s="36">
        <f>K739+K742</f>
        <v>1684</v>
      </c>
      <c r="L738" s="36">
        <f>L739+L742</f>
        <v>1684</v>
      </c>
    </row>
    <row r="739" spans="1:12" s="5" customFormat="1" ht="30">
      <c r="A739" s="107" t="s">
        <v>703</v>
      </c>
      <c r="B739" s="99" t="s">
        <v>345</v>
      </c>
      <c r="C739" s="99" t="s">
        <v>134</v>
      </c>
      <c r="D739" s="99" t="s">
        <v>147</v>
      </c>
      <c r="E739" s="99" t="s">
        <v>394</v>
      </c>
      <c r="F739" s="99"/>
      <c r="G739" s="100"/>
      <c r="H739" s="74">
        <f>H740</f>
        <v>674.4</v>
      </c>
      <c r="I739" s="74">
        <f>I740</f>
        <v>674.4</v>
      </c>
      <c r="J739" s="101">
        <f t="shared" si="53"/>
        <v>0</v>
      </c>
      <c r="K739" s="74">
        <f t="shared" si="60"/>
        <v>800</v>
      </c>
      <c r="L739" s="74">
        <f t="shared" si="60"/>
        <v>800</v>
      </c>
    </row>
    <row r="740" spans="1:12" s="5" customFormat="1" ht="30">
      <c r="A740" s="107" t="s">
        <v>688</v>
      </c>
      <c r="B740" s="99" t="s">
        <v>345</v>
      </c>
      <c r="C740" s="99" t="s">
        <v>134</v>
      </c>
      <c r="D740" s="99" t="s">
        <v>147</v>
      </c>
      <c r="E740" s="99" t="s">
        <v>394</v>
      </c>
      <c r="F740" s="99" t="s">
        <v>689</v>
      </c>
      <c r="G740" s="100"/>
      <c r="H740" s="74">
        <f>H741</f>
        <v>674.4</v>
      </c>
      <c r="I740" s="74">
        <f>I741</f>
        <v>674.4</v>
      </c>
      <c r="J740" s="101">
        <f t="shared" si="53"/>
        <v>0</v>
      </c>
      <c r="K740" s="74">
        <f t="shared" si="60"/>
        <v>800</v>
      </c>
      <c r="L740" s="74">
        <f t="shared" si="60"/>
        <v>800</v>
      </c>
    </row>
    <row r="741" spans="1:12" s="5" customFormat="1" ht="15">
      <c r="A741" s="102" t="s">
        <v>111</v>
      </c>
      <c r="B741" s="99" t="s">
        <v>345</v>
      </c>
      <c r="C741" s="99" t="s">
        <v>134</v>
      </c>
      <c r="D741" s="99" t="s">
        <v>147</v>
      </c>
      <c r="E741" s="99" t="s">
        <v>394</v>
      </c>
      <c r="F741" s="99" t="s">
        <v>689</v>
      </c>
      <c r="G741" s="100" t="s">
        <v>52</v>
      </c>
      <c r="H741" s="74">
        <f>'Пр. 9'!I104</f>
        <v>674.4</v>
      </c>
      <c r="I741" s="74">
        <f>'Пр. 9'!J104</f>
        <v>674.4</v>
      </c>
      <c r="J741" s="101">
        <f t="shared" si="53"/>
        <v>0</v>
      </c>
      <c r="K741" s="74">
        <f>'Пр. 9'!L104</f>
        <v>800</v>
      </c>
      <c r="L741" s="74">
        <f>'Пр. 9'!M104</f>
        <v>800</v>
      </c>
    </row>
    <row r="742" spans="1:12" s="5" customFormat="1" ht="94.5" customHeight="1">
      <c r="A742" s="102" t="s">
        <v>1048</v>
      </c>
      <c r="B742" s="99" t="s">
        <v>345</v>
      </c>
      <c r="C742" s="99" t="s">
        <v>134</v>
      </c>
      <c r="D742" s="99" t="s">
        <v>147</v>
      </c>
      <c r="E742" s="99" t="s">
        <v>395</v>
      </c>
      <c r="F742" s="99"/>
      <c r="G742" s="108"/>
      <c r="H742" s="74">
        <f>H743</f>
        <v>1679.4</v>
      </c>
      <c r="I742" s="74">
        <f>I743</f>
        <v>1679.4</v>
      </c>
      <c r="J742" s="101">
        <f t="shared" si="53"/>
        <v>0</v>
      </c>
      <c r="K742" s="74">
        <f>K743</f>
        <v>884</v>
      </c>
      <c r="L742" s="74">
        <f>L743</f>
        <v>884</v>
      </c>
    </row>
    <row r="743" spans="1:12" s="5" customFormat="1" ht="30">
      <c r="A743" s="102" t="s">
        <v>688</v>
      </c>
      <c r="B743" s="99" t="s">
        <v>345</v>
      </c>
      <c r="C743" s="99" t="s">
        <v>134</v>
      </c>
      <c r="D743" s="99" t="s">
        <v>147</v>
      </c>
      <c r="E743" s="99" t="s">
        <v>395</v>
      </c>
      <c r="F743" s="99" t="s">
        <v>689</v>
      </c>
      <c r="G743" s="100"/>
      <c r="H743" s="74">
        <f>H744</f>
        <v>1679.4</v>
      </c>
      <c r="I743" s="74">
        <f>I744</f>
        <v>1679.4</v>
      </c>
      <c r="J743" s="101">
        <f t="shared" si="53"/>
        <v>0</v>
      </c>
      <c r="K743" s="74">
        <f>K744</f>
        <v>884</v>
      </c>
      <c r="L743" s="74">
        <f>L744</f>
        <v>884</v>
      </c>
    </row>
    <row r="744" spans="1:12" s="5" customFormat="1" ht="15">
      <c r="A744" s="102" t="s">
        <v>111</v>
      </c>
      <c r="B744" s="99" t="s">
        <v>345</v>
      </c>
      <c r="C744" s="99" t="s">
        <v>134</v>
      </c>
      <c r="D744" s="99" t="s">
        <v>147</v>
      </c>
      <c r="E744" s="99" t="s">
        <v>395</v>
      </c>
      <c r="F744" s="99" t="s">
        <v>689</v>
      </c>
      <c r="G744" s="100" t="s">
        <v>52</v>
      </c>
      <c r="H744" s="74">
        <f>'Пр. 9'!I106</f>
        <v>1679.4</v>
      </c>
      <c r="I744" s="74">
        <f>'Пр. 9'!J106</f>
        <v>1679.4</v>
      </c>
      <c r="J744" s="101">
        <f t="shared" si="53"/>
        <v>0</v>
      </c>
      <c r="K744" s="74">
        <f>'Пр. 9'!L106</f>
        <v>884</v>
      </c>
      <c r="L744" s="74">
        <f>'Пр. 9'!M106</f>
        <v>884</v>
      </c>
    </row>
    <row r="745" spans="1:12" s="5" customFormat="1" ht="28.5">
      <c r="A745" s="116" t="s">
        <v>788</v>
      </c>
      <c r="B745" s="67" t="s">
        <v>345</v>
      </c>
      <c r="C745" s="67" t="s">
        <v>135</v>
      </c>
      <c r="D745" s="67" t="s">
        <v>149</v>
      </c>
      <c r="E745" s="67" t="s">
        <v>150</v>
      </c>
      <c r="F745" s="67"/>
      <c r="G745" s="95"/>
      <c r="H745" s="36">
        <f aca="true" t="shared" si="61" ref="H745:I748">H746</f>
        <v>304</v>
      </c>
      <c r="I745" s="36">
        <f t="shared" si="61"/>
        <v>304</v>
      </c>
      <c r="J745" s="96">
        <f t="shared" si="53"/>
        <v>0</v>
      </c>
      <c r="K745" s="36">
        <f>K746</f>
        <v>305</v>
      </c>
      <c r="L745" s="36">
        <f>L746</f>
        <v>304</v>
      </c>
    </row>
    <row r="746" spans="1:12" s="5" customFormat="1" ht="42.75">
      <c r="A746" s="116" t="s">
        <v>285</v>
      </c>
      <c r="B746" s="67" t="s">
        <v>345</v>
      </c>
      <c r="C746" s="67" t="s">
        <v>135</v>
      </c>
      <c r="D746" s="67" t="s">
        <v>147</v>
      </c>
      <c r="E746" s="67" t="s">
        <v>150</v>
      </c>
      <c r="F746" s="67"/>
      <c r="G746" s="95"/>
      <c r="H746" s="36">
        <f t="shared" si="61"/>
        <v>304</v>
      </c>
      <c r="I746" s="36">
        <f t="shared" si="61"/>
        <v>304</v>
      </c>
      <c r="J746" s="96">
        <f t="shared" si="53"/>
        <v>0</v>
      </c>
      <c r="K746" s="36">
        <f>K747</f>
        <v>305</v>
      </c>
      <c r="L746" s="36">
        <f>L747</f>
        <v>304</v>
      </c>
    </row>
    <row r="747" spans="1:12" s="5" customFormat="1" ht="30">
      <c r="A747" s="102" t="s">
        <v>789</v>
      </c>
      <c r="B747" s="99" t="s">
        <v>345</v>
      </c>
      <c r="C747" s="99" t="s">
        <v>135</v>
      </c>
      <c r="D747" s="99" t="s">
        <v>147</v>
      </c>
      <c r="E747" s="99" t="s">
        <v>286</v>
      </c>
      <c r="F747" s="99"/>
      <c r="G747" s="100"/>
      <c r="H747" s="74">
        <f t="shared" si="61"/>
        <v>304</v>
      </c>
      <c r="I747" s="74">
        <f t="shared" si="61"/>
        <v>304</v>
      </c>
      <c r="J747" s="101">
        <f t="shared" si="53"/>
        <v>0</v>
      </c>
      <c r="K747" s="74">
        <f>K749</f>
        <v>305</v>
      </c>
      <c r="L747" s="74">
        <f>L749</f>
        <v>304</v>
      </c>
    </row>
    <row r="748" spans="1:12" s="5" customFormat="1" ht="30">
      <c r="A748" s="102" t="s">
        <v>688</v>
      </c>
      <c r="B748" s="99" t="s">
        <v>345</v>
      </c>
      <c r="C748" s="99" t="s">
        <v>135</v>
      </c>
      <c r="D748" s="99" t="s">
        <v>147</v>
      </c>
      <c r="E748" s="99" t="s">
        <v>286</v>
      </c>
      <c r="F748" s="99" t="s">
        <v>689</v>
      </c>
      <c r="G748" s="100"/>
      <c r="H748" s="74">
        <f t="shared" si="61"/>
        <v>304</v>
      </c>
      <c r="I748" s="74">
        <f t="shared" si="61"/>
        <v>304</v>
      </c>
      <c r="J748" s="101">
        <f t="shared" si="53"/>
        <v>0</v>
      </c>
      <c r="K748" s="74">
        <f>K749</f>
        <v>305</v>
      </c>
      <c r="L748" s="74">
        <f>L749</f>
        <v>304</v>
      </c>
    </row>
    <row r="749" spans="1:12" s="5" customFormat="1" ht="15">
      <c r="A749" s="102" t="s">
        <v>81</v>
      </c>
      <c r="B749" s="99" t="s">
        <v>345</v>
      </c>
      <c r="C749" s="99" t="s">
        <v>135</v>
      </c>
      <c r="D749" s="99" t="s">
        <v>147</v>
      </c>
      <c r="E749" s="99" t="s">
        <v>286</v>
      </c>
      <c r="F749" s="99" t="s">
        <v>689</v>
      </c>
      <c r="G749" s="100" t="s">
        <v>82</v>
      </c>
      <c r="H749" s="74">
        <f>'Пр. 9'!I852</f>
        <v>304</v>
      </c>
      <c r="I749" s="74">
        <f>'Пр. 9'!J852</f>
        <v>304</v>
      </c>
      <c r="J749" s="96">
        <f aca="true" t="shared" si="62" ref="J749:J812">I749-H749</f>
        <v>0</v>
      </c>
      <c r="K749" s="74">
        <f>'Пр. 9'!L852</f>
        <v>305</v>
      </c>
      <c r="L749" s="74">
        <f>'Пр. 9'!M852</f>
        <v>304</v>
      </c>
    </row>
    <row r="750" spans="1:12" s="5" customFormat="1" ht="28.5">
      <c r="A750" s="110" t="s">
        <v>396</v>
      </c>
      <c r="B750" s="95" t="s">
        <v>397</v>
      </c>
      <c r="C750" s="94">
        <v>0</v>
      </c>
      <c r="D750" s="95" t="s">
        <v>149</v>
      </c>
      <c r="E750" s="95" t="s">
        <v>150</v>
      </c>
      <c r="F750" s="94"/>
      <c r="G750" s="95"/>
      <c r="H750" s="36">
        <f>H751+H756+H761+H829</f>
        <v>192734.90000000005</v>
      </c>
      <c r="I750" s="36">
        <f>I751+I756+I761+I829</f>
        <v>193135.50000000006</v>
      </c>
      <c r="J750" s="96">
        <f t="shared" si="62"/>
        <v>400.6000000000058</v>
      </c>
      <c r="K750" s="36">
        <f>K751+K756+K761+K829</f>
        <v>192436.60000000003</v>
      </c>
      <c r="L750" s="36">
        <f>L751+L756+L761+L829</f>
        <v>200415.30000000005</v>
      </c>
    </row>
    <row r="751" spans="1:12" s="5" customFormat="1" ht="28.5">
      <c r="A751" s="97" t="s">
        <v>398</v>
      </c>
      <c r="B751" s="67" t="s">
        <v>397</v>
      </c>
      <c r="C751" s="67" t="s">
        <v>131</v>
      </c>
      <c r="D751" s="67" t="s">
        <v>149</v>
      </c>
      <c r="E751" s="67" t="s">
        <v>150</v>
      </c>
      <c r="F751" s="67"/>
      <c r="G751" s="95"/>
      <c r="H751" s="36">
        <f aca="true" t="shared" si="63" ref="H751:L754">H752</f>
        <v>1339.3999999999999</v>
      </c>
      <c r="I751" s="36">
        <f t="shared" si="63"/>
        <v>1339.3999999999999</v>
      </c>
      <c r="J751" s="96">
        <f t="shared" si="62"/>
        <v>0</v>
      </c>
      <c r="K751" s="36">
        <f t="shared" si="63"/>
        <v>2785.8</v>
      </c>
      <c r="L751" s="36">
        <f t="shared" si="63"/>
        <v>2897.3</v>
      </c>
    </row>
    <row r="752" spans="1:12" s="5" customFormat="1" ht="14.25">
      <c r="A752" s="110" t="s">
        <v>399</v>
      </c>
      <c r="B752" s="67" t="s">
        <v>397</v>
      </c>
      <c r="C752" s="67" t="s">
        <v>131</v>
      </c>
      <c r="D752" s="67" t="s">
        <v>147</v>
      </c>
      <c r="E752" s="67" t="s">
        <v>150</v>
      </c>
      <c r="F752" s="67"/>
      <c r="G752" s="95"/>
      <c r="H752" s="36">
        <f t="shared" si="63"/>
        <v>1339.3999999999999</v>
      </c>
      <c r="I752" s="36">
        <f t="shared" si="63"/>
        <v>1339.3999999999999</v>
      </c>
      <c r="J752" s="96">
        <f t="shared" si="62"/>
        <v>0</v>
      </c>
      <c r="K752" s="36">
        <f t="shared" si="63"/>
        <v>2785.8</v>
      </c>
      <c r="L752" s="36">
        <f t="shared" si="63"/>
        <v>2897.3</v>
      </c>
    </row>
    <row r="753" spans="1:12" s="5" customFormat="1" ht="15">
      <c r="A753" s="102" t="s">
        <v>400</v>
      </c>
      <c r="B753" s="100" t="s">
        <v>397</v>
      </c>
      <c r="C753" s="117">
        <v>1</v>
      </c>
      <c r="D753" s="99" t="s">
        <v>147</v>
      </c>
      <c r="E753" s="100" t="s">
        <v>401</v>
      </c>
      <c r="F753" s="117"/>
      <c r="G753" s="100"/>
      <c r="H753" s="74">
        <f t="shared" si="63"/>
        <v>1339.3999999999999</v>
      </c>
      <c r="I753" s="74">
        <f t="shared" si="63"/>
        <v>1339.3999999999999</v>
      </c>
      <c r="J753" s="101">
        <f t="shared" si="62"/>
        <v>0</v>
      </c>
      <c r="K753" s="74">
        <f t="shared" si="63"/>
        <v>2785.8</v>
      </c>
      <c r="L753" s="74">
        <f t="shared" si="63"/>
        <v>2897.3</v>
      </c>
    </row>
    <row r="754" spans="1:12" s="5" customFormat="1" ht="60">
      <c r="A754" s="102" t="s">
        <v>680</v>
      </c>
      <c r="B754" s="100" t="s">
        <v>397</v>
      </c>
      <c r="C754" s="117">
        <v>1</v>
      </c>
      <c r="D754" s="99" t="s">
        <v>147</v>
      </c>
      <c r="E754" s="100" t="s">
        <v>401</v>
      </c>
      <c r="F754" s="117">
        <v>100</v>
      </c>
      <c r="G754" s="100"/>
      <c r="H754" s="74">
        <f t="shared" si="63"/>
        <v>1339.3999999999999</v>
      </c>
      <c r="I754" s="74">
        <f t="shared" si="63"/>
        <v>1339.3999999999999</v>
      </c>
      <c r="J754" s="101">
        <f t="shared" si="62"/>
        <v>0</v>
      </c>
      <c r="K754" s="74">
        <f t="shared" si="63"/>
        <v>2785.8</v>
      </c>
      <c r="L754" s="74">
        <f t="shared" si="63"/>
        <v>2897.3</v>
      </c>
    </row>
    <row r="755" spans="1:12" s="9" customFormat="1" ht="30">
      <c r="A755" s="102" t="s">
        <v>39</v>
      </c>
      <c r="B755" s="100" t="s">
        <v>397</v>
      </c>
      <c r="C755" s="117">
        <v>1</v>
      </c>
      <c r="D755" s="99" t="s">
        <v>147</v>
      </c>
      <c r="E755" s="100" t="s">
        <v>401</v>
      </c>
      <c r="F755" s="117">
        <v>100</v>
      </c>
      <c r="G755" s="100" t="s">
        <v>40</v>
      </c>
      <c r="H755" s="74">
        <f>'Пр. 9'!I770</f>
        <v>1339.3999999999999</v>
      </c>
      <c r="I755" s="74">
        <f>'Пр. 9'!J770</f>
        <v>1339.3999999999999</v>
      </c>
      <c r="J755" s="101">
        <f t="shared" si="62"/>
        <v>0</v>
      </c>
      <c r="K755" s="74">
        <f>'Пр. 9'!L770</f>
        <v>2785.8</v>
      </c>
      <c r="L755" s="74">
        <f>'Пр. 9'!M770</f>
        <v>2897.3</v>
      </c>
    </row>
    <row r="756" spans="1:12" ht="42.75">
      <c r="A756" s="97" t="s">
        <v>402</v>
      </c>
      <c r="B756" s="67" t="s">
        <v>397</v>
      </c>
      <c r="C756" s="67" t="s">
        <v>132</v>
      </c>
      <c r="D756" s="67" t="s">
        <v>149</v>
      </c>
      <c r="E756" s="67" t="s">
        <v>150</v>
      </c>
      <c r="F756" s="67"/>
      <c r="G756" s="95"/>
      <c r="H756" s="36">
        <f aca="true" t="shared" si="64" ref="H756:I759">H757</f>
        <v>4149.1</v>
      </c>
      <c r="I756" s="36">
        <f t="shared" si="64"/>
        <v>4149.1</v>
      </c>
      <c r="J756" s="96">
        <f t="shared" si="62"/>
        <v>0</v>
      </c>
      <c r="K756" s="36">
        <f aca="true" t="shared" si="65" ref="K756:L759">K757</f>
        <v>4119.1</v>
      </c>
      <c r="L756" s="36">
        <f t="shared" si="65"/>
        <v>4119.1</v>
      </c>
    </row>
    <row r="757" spans="1:12" s="9" customFormat="1" ht="14.25">
      <c r="A757" s="110" t="s">
        <v>399</v>
      </c>
      <c r="B757" s="67" t="s">
        <v>397</v>
      </c>
      <c r="C757" s="67" t="s">
        <v>132</v>
      </c>
      <c r="D757" s="67" t="s">
        <v>147</v>
      </c>
      <c r="E757" s="67" t="s">
        <v>150</v>
      </c>
      <c r="F757" s="67"/>
      <c r="G757" s="95"/>
      <c r="H757" s="36">
        <f t="shared" si="64"/>
        <v>4149.1</v>
      </c>
      <c r="I757" s="36">
        <f t="shared" si="64"/>
        <v>4149.1</v>
      </c>
      <c r="J757" s="96">
        <f t="shared" si="62"/>
        <v>0</v>
      </c>
      <c r="K757" s="36">
        <f t="shared" si="65"/>
        <v>4119.1</v>
      </c>
      <c r="L757" s="36">
        <f t="shared" si="65"/>
        <v>4119.1</v>
      </c>
    </row>
    <row r="758" spans="1:12" ht="15">
      <c r="A758" s="102" t="s">
        <v>400</v>
      </c>
      <c r="B758" s="100" t="s">
        <v>397</v>
      </c>
      <c r="C758" s="117">
        <v>2</v>
      </c>
      <c r="D758" s="99" t="s">
        <v>147</v>
      </c>
      <c r="E758" s="100" t="s">
        <v>401</v>
      </c>
      <c r="F758" s="117"/>
      <c r="G758" s="100"/>
      <c r="H758" s="74">
        <f t="shared" si="64"/>
        <v>4149.1</v>
      </c>
      <c r="I758" s="74">
        <f t="shared" si="64"/>
        <v>4149.1</v>
      </c>
      <c r="J758" s="96">
        <f t="shared" si="62"/>
        <v>0</v>
      </c>
      <c r="K758" s="74">
        <f t="shared" si="65"/>
        <v>4119.1</v>
      </c>
      <c r="L758" s="74">
        <f t="shared" si="65"/>
        <v>4119.1</v>
      </c>
    </row>
    <row r="759" spans="1:12" ht="60">
      <c r="A759" s="102" t="s">
        <v>680</v>
      </c>
      <c r="B759" s="100" t="s">
        <v>397</v>
      </c>
      <c r="C759" s="117">
        <v>2</v>
      </c>
      <c r="D759" s="99" t="s">
        <v>147</v>
      </c>
      <c r="E759" s="100" t="s">
        <v>401</v>
      </c>
      <c r="F759" s="117">
        <v>100</v>
      </c>
      <c r="G759" s="100"/>
      <c r="H759" s="74">
        <f t="shared" si="64"/>
        <v>4149.1</v>
      </c>
      <c r="I759" s="74">
        <f t="shared" si="64"/>
        <v>4149.1</v>
      </c>
      <c r="J759" s="101">
        <f t="shared" si="62"/>
        <v>0</v>
      </c>
      <c r="K759" s="74">
        <f t="shared" si="65"/>
        <v>4119.1</v>
      </c>
      <c r="L759" s="74">
        <f t="shared" si="65"/>
        <v>4119.1</v>
      </c>
    </row>
    <row r="760" spans="1:12" ht="45">
      <c r="A760" s="102" t="s">
        <v>403</v>
      </c>
      <c r="B760" s="100" t="s">
        <v>397</v>
      </c>
      <c r="C760" s="117">
        <v>2</v>
      </c>
      <c r="D760" s="99" t="s">
        <v>147</v>
      </c>
      <c r="E760" s="100" t="s">
        <v>401</v>
      </c>
      <c r="F760" s="117">
        <v>100</v>
      </c>
      <c r="G760" s="100" t="s">
        <v>44</v>
      </c>
      <c r="H760" s="74">
        <f>'Пр. 9'!I45</f>
        <v>4149.1</v>
      </c>
      <c r="I760" s="74">
        <f>'Пр. 9'!J45</f>
        <v>4149.1</v>
      </c>
      <c r="J760" s="101">
        <f t="shared" si="62"/>
        <v>0</v>
      </c>
      <c r="K760" s="74">
        <f>'Пр. 9'!L45</f>
        <v>4119.1</v>
      </c>
      <c r="L760" s="74">
        <f>'Пр. 9'!M45</f>
        <v>4119.1</v>
      </c>
    </row>
    <row r="761" spans="1:12" ht="14.25">
      <c r="A761" s="97" t="s">
        <v>404</v>
      </c>
      <c r="B761" s="95" t="s">
        <v>397</v>
      </c>
      <c r="C761" s="67" t="s">
        <v>134</v>
      </c>
      <c r="D761" s="67" t="s">
        <v>149</v>
      </c>
      <c r="E761" s="67" t="s">
        <v>150</v>
      </c>
      <c r="F761" s="67"/>
      <c r="G761" s="95"/>
      <c r="H761" s="36">
        <f>H762</f>
        <v>184621.40000000005</v>
      </c>
      <c r="I761" s="36">
        <f>I762</f>
        <v>185022.00000000006</v>
      </c>
      <c r="J761" s="96">
        <f t="shared" si="62"/>
        <v>400.6000000000058</v>
      </c>
      <c r="K761" s="36">
        <f>K762</f>
        <v>182802.70000000004</v>
      </c>
      <c r="L761" s="36">
        <f>L762</f>
        <v>190560.90000000005</v>
      </c>
    </row>
    <row r="762" spans="1:12" s="9" customFormat="1" ht="14.25">
      <c r="A762" s="110" t="s">
        <v>399</v>
      </c>
      <c r="B762" s="67" t="s">
        <v>397</v>
      </c>
      <c r="C762" s="67" t="s">
        <v>134</v>
      </c>
      <c r="D762" s="67" t="s">
        <v>147</v>
      </c>
      <c r="E762" s="67" t="s">
        <v>150</v>
      </c>
      <c r="F762" s="67"/>
      <c r="G762" s="95"/>
      <c r="H762" s="36">
        <f>H763+H782+H785+H788+H791+H802+H805+H812+H815+H820+H823+H826+H796</f>
        <v>184621.40000000005</v>
      </c>
      <c r="I762" s="36">
        <f>I763+I782+I785+I788+I791+I802+I805+I812+I815+I820+I823+I826+I796</f>
        <v>185022.00000000006</v>
      </c>
      <c r="J762" s="96">
        <f t="shared" si="62"/>
        <v>400.6000000000058</v>
      </c>
      <c r="K762" s="36">
        <f>K763+K782+K785+K788+K791+K802+K805+K812+K815+K820+K823+K826+K796</f>
        <v>182802.70000000004</v>
      </c>
      <c r="L762" s="36">
        <f>L763+L782+L785+L788+L791+L802+L805+L812+L815+L820+L823+L826+L796</f>
        <v>190560.90000000005</v>
      </c>
    </row>
    <row r="763" spans="1:12" ht="15">
      <c r="A763" s="102" t="s">
        <v>400</v>
      </c>
      <c r="B763" s="100" t="s">
        <v>397</v>
      </c>
      <c r="C763" s="117">
        <v>3</v>
      </c>
      <c r="D763" s="99" t="s">
        <v>147</v>
      </c>
      <c r="E763" s="100" t="s">
        <v>401</v>
      </c>
      <c r="F763" s="117"/>
      <c r="G763" s="100"/>
      <c r="H763" s="74">
        <f>H764+H770+H776</f>
        <v>161915.6</v>
      </c>
      <c r="I763" s="74">
        <f>I764+I770+I776</f>
        <v>162473.6</v>
      </c>
      <c r="J763" s="96">
        <f t="shared" si="62"/>
        <v>558</v>
      </c>
      <c r="K763" s="74">
        <f>K764+K770+K776</f>
        <v>163302.80000000002</v>
      </c>
      <c r="L763" s="74">
        <f>L764+L770+L776</f>
        <v>170936.50000000003</v>
      </c>
    </row>
    <row r="764" spans="1:12" s="9" customFormat="1" ht="60">
      <c r="A764" s="102" t="s">
        <v>680</v>
      </c>
      <c r="B764" s="100" t="s">
        <v>397</v>
      </c>
      <c r="C764" s="117">
        <v>3</v>
      </c>
      <c r="D764" s="99" t="s">
        <v>147</v>
      </c>
      <c r="E764" s="100" t="s">
        <v>401</v>
      </c>
      <c r="F764" s="117">
        <v>100</v>
      </c>
      <c r="G764" s="100"/>
      <c r="H764" s="74">
        <f>H765+H766+H767+H768+H769</f>
        <v>144999.80000000002</v>
      </c>
      <c r="I764" s="74">
        <f>I765+I766+I767+I768+I769</f>
        <v>145605.30000000002</v>
      </c>
      <c r="J764" s="101">
        <f t="shared" si="62"/>
        <v>605.5</v>
      </c>
      <c r="K764" s="74">
        <f>K765+K766+K767+K768+K769</f>
        <v>145952.2</v>
      </c>
      <c r="L764" s="74">
        <f>L765+L766+L767+L768+L769</f>
        <v>150177.6</v>
      </c>
    </row>
    <row r="765" spans="1:12" s="5" customFormat="1" ht="45">
      <c r="A765" s="102" t="s">
        <v>41</v>
      </c>
      <c r="B765" s="100" t="s">
        <v>397</v>
      </c>
      <c r="C765" s="117">
        <v>3</v>
      </c>
      <c r="D765" s="99" t="s">
        <v>147</v>
      </c>
      <c r="E765" s="100" t="s">
        <v>401</v>
      </c>
      <c r="F765" s="117">
        <v>100</v>
      </c>
      <c r="G765" s="100" t="s">
        <v>42</v>
      </c>
      <c r="H765" s="74">
        <f>'Пр. 9'!I781</f>
        <v>7541</v>
      </c>
      <c r="I765" s="74">
        <f>'Пр. 9'!J781</f>
        <v>7541</v>
      </c>
      <c r="J765" s="101">
        <f t="shared" si="62"/>
        <v>0</v>
      </c>
      <c r="K765" s="74">
        <f>'Пр. 9'!L781</f>
        <v>7842.8</v>
      </c>
      <c r="L765" s="74">
        <f>'Пр. 9'!M781</f>
        <v>8156.4</v>
      </c>
    </row>
    <row r="766" spans="1:12" ht="45">
      <c r="A766" s="102" t="s">
        <v>403</v>
      </c>
      <c r="B766" s="100" t="s">
        <v>397</v>
      </c>
      <c r="C766" s="117">
        <v>3</v>
      </c>
      <c r="D766" s="99" t="s">
        <v>147</v>
      </c>
      <c r="E766" s="100" t="s">
        <v>401</v>
      </c>
      <c r="F766" s="117">
        <v>100</v>
      </c>
      <c r="G766" s="100" t="s">
        <v>44</v>
      </c>
      <c r="H766" s="74">
        <f>'Пр. 9'!I49</f>
        <v>91234.1</v>
      </c>
      <c r="I766" s="74">
        <f>'Пр. 9'!J49</f>
        <v>91234.1</v>
      </c>
      <c r="J766" s="101">
        <f t="shared" si="62"/>
        <v>0</v>
      </c>
      <c r="K766" s="74">
        <f>'Пр. 9'!L49</f>
        <v>91233</v>
      </c>
      <c r="L766" s="74">
        <f>'Пр. 9'!M49</f>
        <v>91233</v>
      </c>
    </row>
    <row r="767" spans="1:12" ht="30">
      <c r="A767" s="102" t="s">
        <v>47</v>
      </c>
      <c r="B767" s="100" t="s">
        <v>397</v>
      </c>
      <c r="C767" s="117">
        <v>3</v>
      </c>
      <c r="D767" s="99" t="s">
        <v>147</v>
      </c>
      <c r="E767" s="100" t="s">
        <v>401</v>
      </c>
      <c r="F767" s="117">
        <v>100</v>
      </c>
      <c r="G767" s="100" t="s">
        <v>48</v>
      </c>
      <c r="H767" s="74">
        <f>'Пр. 9'!I606+'Пр. 9'!I1089</f>
        <v>25116.800000000003</v>
      </c>
      <c r="I767" s="74">
        <f>'Пр. 9'!J606+'Пр. 9'!J1089</f>
        <v>25729.800000000003</v>
      </c>
      <c r="J767" s="101">
        <f t="shared" si="62"/>
        <v>613</v>
      </c>
      <c r="K767" s="74">
        <f>'Пр. 9'!L606+'Пр. 9'!L1089</f>
        <v>26245.2</v>
      </c>
      <c r="L767" s="74">
        <f>'Пр. 9'!M606+'Пр. 9'!M1089</f>
        <v>27296</v>
      </c>
    </row>
    <row r="768" spans="1:12" ht="15">
      <c r="A768" s="102" t="s">
        <v>51</v>
      </c>
      <c r="B768" s="100" t="s">
        <v>397</v>
      </c>
      <c r="C768" s="117">
        <v>3</v>
      </c>
      <c r="D768" s="99" t="s">
        <v>147</v>
      </c>
      <c r="E768" s="100" t="s">
        <v>401</v>
      </c>
      <c r="F768" s="117">
        <v>100</v>
      </c>
      <c r="G768" s="100" t="s">
        <v>52</v>
      </c>
      <c r="H768" s="74">
        <f>'Пр. 9'!I726</f>
        <v>14619.9</v>
      </c>
      <c r="I768" s="74">
        <f>'Пр. 9'!J726</f>
        <v>14612.4</v>
      </c>
      <c r="J768" s="101">
        <f t="shared" si="62"/>
        <v>-7.5</v>
      </c>
      <c r="K768" s="74">
        <f>'Пр. 9'!L726</f>
        <v>14225.2</v>
      </c>
      <c r="L768" s="74">
        <f>'Пр. 9'!M726</f>
        <v>16480.2</v>
      </c>
    </row>
    <row r="769" spans="1:12" s="9" customFormat="1" ht="15">
      <c r="A769" s="102" t="s">
        <v>95</v>
      </c>
      <c r="B769" s="100" t="s">
        <v>397</v>
      </c>
      <c r="C769" s="117">
        <v>3</v>
      </c>
      <c r="D769" s="99" t="s">
        <v>147</v>
      </c>
      <c r="E769" s="100" t="s">
        <v>401</v>
      </c>
      <c r="F769" s="117">
        <v>100</v>
      </c>
      <c r="G769" s="100" t="s">
        <v>96</v>
      </c>
      <c r="H769" s="74">
        <f>'Пр. 9'!I840</f>
        <v>6488</v>
      </c>
      <c r="I769" s="74">
        <f>'Пр. 9'!J840</f>
        <v>6488</v>
      </c>
      <c r="J769" s="101">
        <f t="shared" si="62"/>
        <v>0</v>
      </c>
      <c r="K769" s="74">
        <f>'Пр. 9'!L840</f>
        <v>6406</v>
      </c>
      <c r="L769" s="74">
        <f>'Пр. 9'!M840</f>
        <v>7012</v>
      </c>
    </row>
    <row r="770" spans="1:12" s="5" customFormat="1" ht="30">
      <c r="A770" s="102" t="s">
        <v>683</v>
      </c>
      <c r="B770" s="100" t="s">
        <v>397</v>
      </c>
      <c r="C770" s="117">
        <v>3</v>
      </c>
      <c r="D770" s="99" t="s">
        <v>147</v>
      </c>
      <c r="E770" s="100" t="s">
        <v>401</v>
      </c>
      <c r="F770" s="117">
        <v>200</v>
      </c>
      <c r="G770" s="100"/>
      <c r="H770" s="74">
        <f>H771+H772+H773+H774+H775</f>
        <v>11861.300000000001</v>
      </c>
      <c r="I770" s="74">
        <f>I771+I772+I773+I774+I775</f>
        <v>11761.300000000001</v>
      </c>
      <c r="J770" s="101">
        <f t="shared" si="62"/>
        <v>-100</v>
      </c>
      <c r="K770" s="74">
        <f>K771+K772+K773+K774+K775</f>
        <v>10920.900000000001</v>
      </c>
      <c r="L770" s="74">
        <f>L771+L772+L773+L774+L775</f>
        <v>14235.2</v>
      </c>
    </row>
    <row r="771" spans="1:12" ht="45">
      <c r="A771" s="102" t="s">
        <v>41</v>
      </c>
      <c r="B771" s="100" t="s">
        <v>397</v>
      </c>
      <c r="C771" s="117">
        <v>3</v>
      </c>
      <c r="D771" s="99" t="s">
        <v>147</v>
      </c>
      <c r="E771" s="100" t="s">
        <v>401</v>
      </c>
      <c r="F771" s="117">
        <v>200</v>
      </c>
      <c r="G771" s="100" t="s">
        <v>42</v>
      </c>
      <c r="H771" s="74">
        <f>'Пр. 9'!I782</f>
        <v>1718.2</v>
      </c>
      <c r="I771" s="74">
        <f>'Пр. 9'!J782</f>
        <v>1718.2</v>
      </c>
      <c r="J771" s="101">
        <f t="shared" si="62"/>
        <v>0</v>
      </c>
      <c r="K771" s="74">
        <f>'Пр. 9'!L782</f>
        <v>1664</v>
      </c>
      <c r="L771" s="74">
        <f>'Пр. 9'!M782</f>
        <v>1722.3</v>
      </c>
    </row>
    <row r="772" spans="1:12" ht="45">
      <c r="A772" s="102" t="s">
        <v>403</v>
      </c>
      <c r="B772" s="100" t="s">
        <v>397</v>
      </c>
      <c r="C772" s="117">
        <v>3</v>
      </c>
      <c r="D772" s="99" t="s">
        <v>147</v>
      </c>
      <c r="E772" s="100" t="s">
        <v>401</v>
      </c>
      <c r="F772" s="117">
        <v>200</v>
      </c>
      <c r="G772" s="100" t="s">
        <v>44</v>
      </c>
      <c r="H772" s="74">
        <f>'Пр. 9'!I50</f>
        <v>7610.5</v>
      </c>
      <c r="I772" s="74">
        <f>'Пр. 9'!J50</f>
        <v>7610.5</v>
      </c>
      <c r="J772" s="101">
        <f t="shared" si="62"/>
        <v>0</v>
      </c>
      <c r="K772" s="74">
        <f>'Пр. 9'!L50</f>
        <v>7109.4</v>
      </c>
      <c r="L772" s="74">
        <f>'Пр. 9'!M50</f>
        <v>10329.5</v>
      </c>
    </row>
    <row r="773" spans="1:12" ht="30">
      <c r="A773" s="102" t="s">
        <v>47</v>
      </c>
      <c r="B773" s="100" t="s">
        <v>397</v>
      </c>
      <c r="C773" s="117">
        <v>3</v>
      </c>
      <c r="D773" s="99" t="s">
        <v>147</v>
      </c>
      <c r="E773" s="100" t="s">
        <v>401</v>
      </c>
      <c r="F773" s="117">
        <v>200</v>
      </c>
      <c r="G773" s="100" t="s">
        <v>48</v>
      </c>
      <c r="H773" s="74">
        <f>'Пр. 9'!I607+'Пр. 9'!I1090</f>
        <v>1666.9</v>
      </c>
      <c r="I773" s="74">
        <f>'Пр. 9'!J607+'Пр. 9'!J1090</f>
        <v>1566.9</v>
      </c>
      <c r="J773" s="101">
        <f t="shared" si="62"/>
        <v>-100</v>
      </c>
      <c r="K773" s="74">
        <f>'Пр. 9'!L607+'Пр. 9'!L1090</f>
        <v>1267.8000000000002</v>
      </c>
      <c r="L773" s="74">
        <f>'Пр. 9'!M607+'Пр. 9'!M1090</f>
        <v>1330.7</v>
      </c>
    </row>
    <row r="774" spans="1:12" ht="15">
      <c r="A774" s="102" t="s">
        <v>51</v>
      </c>
      <c r="B774" s="100" t="s">
        <v>397</v>
      </c>
      <c r="C774" s="117">
        <v>3</v>
      </c>
      <c r="D774" s="99" t="s">
        <v>147</v>
      </c>
      <c r="E774" s="100" t="s">
        <v>401</v>
      </c>
      <c r="F774" s="117">
        <v>200</v>
      </c>
      <c r="G774" s="100" t="s">
        <v>52</v>
      </c>
      <c r="H774" s="74">
        <f>'Пр. 9'!I727</f>
        <v>621.7</v>
      </c>
      <c r="I774" s="74">
        <f>'Пр. 9'!J727</f>
        <v>621.7</v>
      </c>
      <c r="J774" s="101">
        <f t="shared" si="62"/>
        <v>0</v>
      </c>
      <c r="K774" s="74">
        <f>'Пр. 9'!L727</f>
        <v>621.7</v>
      </c>
      <c r="L774" s="74">
        <f>'Пр. 9'!M727</f>
        <v>621.7</v>
      </c>
    </row>
    <row r="775" spans="1:12" ht="15">
      <c r="A775" s="102" t="s">
        <v>95</v>
      </c>
      <c r="B775" s="100" t="s">
        <v>397</v>
      </c>
      <c r="C775" s="117">
        <v>3</v>
      </c>
      <c r="D775" s="99" t="s">
        <v>147</v>
      </c>
      <c r="E775" s="100" t="s">
        <v>401</v>
      </c>
      <c r="F775" s="117">
        <v>200</v>
      </c>
      <c r="G775" s="100" t="s">
        <v>96</v>
      </c>
      <c r="H775" s="74">
        <f>'Пр. 9'!I841</f>
        <v>244</v>
      </c>
      <c r="I775" s="74">
        <f>'Пр. 9'!J841</f>
        <v>244</v>
      </c>
      <c r="J775" s="101">
        <f t="shared" si="62"/>
        <v>0</v>
      </c>
      <c r="K775" s="74">
        <f>'Пр. 9'!L841</f>
        <v>258</v>
      </c>
      <c r="L775" s="74">
        <f>'Пр. 9'!M841</f>
        <v>231</v>
      </c>
    </row>
    <row r="776" spans="1:12" s="9" customFormat="1" ht="15">
      <c r="A776" s="102" t="s">
        <v>684</v>
      </c>
      <c r="B776" s="100" t="s">
        <v>397</v>
      </c>
      <c r="C776" s="117">
        <v>3</v>
      </c>
      <c r="D776" s="99" t="s">
        <v>147</v>
      </c>
      <c r="E776" s="100" t="s">
        <v>401</v>
      </c>
      <c r="F776" s="117">
        <v>800</v>
      </c>
      <c r="G776" s="100"/>
      <c r="H776" s="74">
        <f>H777+H778+H779+H780+H781</f>
        <v>5054.5</v>
      </c>
      <c r="I776" s="74">
        <f>I777+I778+I779+I780+I781</f>
        <v>5107</v>
      </c>
      <c r="J776" s="101">
        <f t="shared" si="62"/>
        <v>52.5</v>
      </c>
      <c r="K776" s="74">
        <f>K777+K778+K779+K780+K781</f>
        <v>6429.7</v>
      </c>
      <c r="L776" s="74">
        <f>L777+L778+L779+L780+L781</f>
        <v>6523.7</v>
      </c>
    </row>
    <row r="777" spans="1:12" ht="45">
      <c r="A777" s="89" t="s">
        <v>41</v>
      </c>
      <c r="B777" s="100" t="s">
        <v>397</v>
      </c>
      <c r="C777" s="117">
        <v>3</v>
      </c>
      <c r="D777" s="99" t="s">
        <v>147</v>
      </c>
      <c r="E777" s="100" t="s">
        <v>401</v>
      </c>
      <c r="F777" s="117">
        <v>800</v>
      </c>
      <c r="G777" s="100" t="s">
        <v>42</v>
      </c>
      <c r="H777" s="74">
        <f>'Пр. 9'!I783</f>
        <v>0.5</v>
      </c>
      <c r="I777" s="74">
        <f>'Пр. 9'!J783</f>
        <v>0.5</v>
      </c>
      <c r="J777" s="101">
        <f t="shared" si="62"/>
        <v>0</v>
      </c>
      <c r="K777" s="74">
        <f>'Пр. 9'!L783</f>
        <v>3</v>
      </c>
      <c r="L777" s="74">
        <f>'Пр. 9'!M783</f>
        <v>3</v>
      </c>
    </row>
    <row r="778" spans="1:12" ht="45">
      <c r="A778" s="102" t="s">
        <v>403</v>
      </c>
      <c r="B778" s="100" t="s">
        <v>397</v>
      </c>
      <c r="C778" s="117">
        <v>3</v>
      </c>
      <c r="D778" s="99" t="s">
        <v>147</v>
      </c>
      <c r="E778" s="100" t="s">
        <v>401</v>
      </c>
      <c r="F778" s="117">
        <v>800</v>
      </c>
      <c r="G778" s="100" t="s">
        <v>44</v>
      </c>
      <c r="H778" s="74">
        <f>'Пр. 9'!I51</f>
        <v>5013.7</v>
      </c>
      <c r="I778" s="74">
        <f>'Пр. 9'!J51</f>
        <v>5058.7</v>
      </c>
      <c r="J778" s="101">
        <f t="shared" si="62"/>
        <v>45</v>
      </c>
      <c r="K778" s="74">
        <f>'Пр. 9'!L51</f>
        <v>6386.4</v>
      </c>
      <c r="L778" s="74">
        <f>'Пр. 9'!M51</f>
        <v>6480.4</v>
      </c>
    </row>
    <row r="779" spans="1:12" ht="30">
      <c r="A779" s="102" t="s">
        <v>47</v>
      </c>
      <c r="B779" s="100" t="s">
        <v>397</v>
      </c>
      <c r="C779" s="117">
        <v>3</v>
      </c>
      <c r="D779" s="99" t="s">
        <v>147</v>
      </c>
      <c r="E779" s="100" t="s">
        <v>401</v>
      </c>
      <c r="F779" s="117">
        <v>800</v>
      </c>
      <c r="G779" s="100" t="s">
        <v>48</v>
      </c>
      <c r="H779" s="74">
        <f>'Пр. 9'!I608+'Пр. 9'!I1091</f>
        <v>30.3</v>
      </c>
      <c r="I779" s="74">
        <f>'Пр. 9'!J608+'Пр. 9'!J1091</f>
        <v>30.3</v>
      </c>
      <c r="J779" s="101">
        <f t="shared" si="62"/>
        <v>0</v>
      </c>
      <c r="K779" s="74">
        <f>'Пр. 9'!L608+'Пр. 9'!L1091</f>
        <v>30.3</v>
      </c>
      <c r="L779" s="74">
        <f>'Пр. 9'!M608+'Пр. 9'!M1091</f>
        <v>30.3</v>
      </c>
    </row>
    <row r="780" spans="1:12" ht="15">
      <c r="A780" s="102" t="s">
        <v>51</v>
      </c>
      <c r="B780" s="100" t="s">
        <v>397</v>
      </c>
      <c r="C780" s="117">
        <v>3</v>
      </c>
      <c r="D780" s="99" t="s">
        <v>147</v>
      </c>
      <c r="E780" s="100" t="s">
        <v>401</v>
      </c>
      <c r="F780" s="117">
        <v>800</v>
      </c>
      <c r="G780" s="100" t="s">
        <v>52</v>
      </c>
      <c r="H780" s="74">
        <f>'Пр. 9'!I728</f>
        <v>0</v>
      </c>
      <c r="I780" s="74">
        <f>'Пр. 9'!J728</f>
        <v>7.5</v>
      </c>
      <c r="J780" s="101">
        <f t="shared" si="62"/>
        <v>7.5</v>
      </c>
      <c r="K780" s="74">
        <f>'Пр. 9'!L728</f>
        <v>0</v>
      </c>
      <c r="L780" s="74">
        <f>'Пр. 9'!M728</f>
        <v>0</v>
      </c>
    </row>
    <row r="781" spans="1:12" ht="15">
      <c r="A781" s="102" t="s">
        <v>95</v>
      </c>
      <c r="B781" s="100" t="s">
        <v>397</v>
      </c>
      <c r="C781" s="117">
        <v>3</v>
      </c>
      <c r="D781" s="99" t="s">
        <v>147</v>
      </c>
      <c r="E781" s="100" t="s">
        <v>401</v>
      </c>
      <c r="F781" s="117">
        <v>800</v>
      </c>
      <c r="G781" s="100" t="s">
        <v>96</v>
      </c>
      <c r="H781" s="74">
        <f>'Пр. 9'!I842</f>
        <v>10</v>
      </c>
      <c r="I781" s="74">
        <f>'Пр. 9'!J842</f>
        <v>10</v>
      </c>
      <c r="J781" s="101">
        <f t="shared" si="62"/>
        <v>0</v>
      </c>
      <c r="K781" s="74">
        <f>'Пр. 9'!L842</f>
        <v>10</v>
      </c>
      <c r="L781" s="74">
        <f>'Пр. 9'!M842</f>
        <v>10</v>
      </c>
    </row>
    <row r="782" spans="1:12" ht="30">
      <c r="A782" s="102" t="s">
        <v>405</v>
      </c>
      <c r="B782" s="100" t="s">
        <v>397</v>
      </c>
      <c r="C782" s="117">
        <v>3</v>
      </c>
      <c r="D782" s="99" t="s">
        <v>147</v>
      </c>
      <c r="E782" s="100" t="s">
        <v>406</v>
      </c>
      <c r="F782" s="117"/>
      <c r="G782" s="100"/>
      <c r="H782" s="74">
        <f>H783</f>
        <v>2458.7</v>
      </c>
      <c r="I782" s="74">
        <f>I783</f>
        <v>2458.7</v>
      </c>
      <c r="J782" s="101">
        <f t="shared" si="62"/>
        <v>0</v>
      </c>
      <c r="K782" s="74">
        <f>K783</f>
        <v>2458.7</v>
      </c>
      <c r="L782" s="74">
        <f>L783</f>
        <v>2458.7</v>
      </c>
    </row>
    <row r="783" spans="1:12" ht="60">
      <c r="A783" s="102" t="s">
        <v>680</v>
      </c>
      <c r="B783" s="100" t="s">
        <v>397</v>
      </c>
      <c r="C783" s="117">
        <v>3</v>
      </c>
      <c r="D783" s="99" t="s">
        <v>147</v>
      </c>
      <c r="E783" s="100" t="s">
        <v>406</v>
      </c>
      <c r="F783" s="117">
        <v>100</v>
      </c>
      <c r="G783" s="100"/>
      <c r="H783" s="74">
        <f>H784</f>
        <v>2458.7</v>
      </c>
      <c r="I783" s="74">
        <f>I784</f>
        <v>2458.7</v>
      </c>
      <c r="J783" s="101">
        <f t="shared" si="62"/>
        <v>0</v>
      </c>
      <c r="K783" s="74">
        <f>K784</f>
        <v>2458.7</v>
      </c>
      <c r="L783" s="74">
        <f>L784</f>
        <v>2458.7</v>
      </c>
    </row>
    <row r="784" spans="1:12" ht="30">
      <c r="A784" s="102" t="s">
        <v>47</v>
      </c>
      <c r="B784" s="100" t="s">
        <v>397</v>
      </c>
      <c r="C784" s="117">
        <v>3</v>
      </c>
      <c r="D784" s="99" t="s">
        <v>147</v>
      </c>
      <c r="E784" s="100" t="s">
        <v>406</v>
      </c>
      <c r="F784" s="117">
        <v>100</v>
      </c>
      <c r="G784" s="100" t="s">
        <v>48</v>
      </c>
      <c r="H784" s="74">
        <f>'Пр. 9'!I610</f>
        <v>2458.7</v>
      </c>
      <c r="I784" s="74">
        <f>'Пр. 9'!J610</f>
        <v>2458.7</v>
      </c>
      <c r="J784" s="101">
        <f t="shared" si="62"/>
        <v>0</v>
      </c>
      <c r="K784" s="74">
        <f>'Пр. 9'!L610</f>
        <v>2458.7</v>
      </c>
      <c r="L784" s="74">
        <f>'Пр. 9'!M610</f>
        <v>2458.7</v>
      </c>
    </row>
    <row r="785" spans="1:12" ht="30" hidden="1">
      <c r="A785" s="102" t="s">
        <v>407</v>
      </c>
      <c r="B785" s="100" t="s">
        <v>397</v>
      </c>
      <c r="C785" s="117">
        <v>3</v>
      </c>
      <c r="D785" s="99" t="s">
        <v>147</v>
      </c>
      <c r="E785" s="100" t="s">
        <v>408</v>
      </c>
      <c r="F785" s="117"/>
      <c r="G785" s="100"/>
      <c r="H785" s="74">
        <f>H786</f>
        <v>0</v>
      </c>
      <c r="I785" s="74">
        <f>I786</f>
        <v>0</v>
      </c>
      <c r="J785" s="101">
        <f t="shared" si="62"/>
        <v>0</v>
      </c>
      <c r="K785" s="74">
        <f>K786</f>
        <v>0</v>
      </c>
      <c r="L785" s="74">
        <f>L786</f>
        <v>0</v>
      </c>
    </row>
    <row r="786" spans="1:12" ht="60" hidden="1">
      <c r="A786" s="102" t="s">
        <v>680</v>
      </c>
      <c r="B786" s="100" t="s">
        <v>397</v>
      </c>
      <c r="C786" s="117">
        <v>3</v>
      </c>
      <c r="D786" s="99" t="s">
        <v>147</v>
      </c>
      <c r="E786" s="100" t="s">
        <v>408</v>
      </c>
      <c r="F786" s="117">
        <v>100</v>
      </c>
      <c r="G786" s="100"/>
      <c r="H786" s="74">
        <f>H787</f>
        <v>0</v>
      </c>
      <c r="I786" s="74">
        <f>I787</f>
        <v>0</v>
      </c>
      <c r="J786" s="101">
        <f t="shared" si="62"/>
        <v>0</v>
      </c>
      <c r="K786" s="74">
        <f>K787</f>
        <v>0</v>
      </c>
      <c r="L786" s="74">
        <f>L787</f>
        <v>0</v>
      </c>
    </row>
    <row r="787" spans="1:12" ht="45" hidden="1">
      <c r="A787" s="102" t="s">
        <v>403</v>
      </c>
      <c r="B787" s="100" t="s">
        <v>397</v>
      </c>
      <c r="C787" s="117">
        <v>3</v>
      </c>
      <c r="D787" s="99" t="s">
        <v>147</v>
      </c>
      <c r="E787" s="100" t="s">
        <v>408</v>
      </c>
      <c r="F787" s="117">
        <v>100</v>
      </c>
      <c r="G787" s="100" t="s">
        <v>44</v>
      </c>
      <c r="H787" s="74">
        <f>'Пр. 9'!I53</f>
        <v>0</v>
      </c>
      <c r="I787" s="74">
        <f>'Пр. 9'!J53</f>
        <v>0</v>
      </c>
      <c r="J787" s="101">
        <f t="shared" si="62"/>
        <v>0</v>
      </c>
      <c r="K787" s="74">
        <f>'Пр. 9'!L53</f>
        <v>0</v>
      </c>
      <c r="L787" s="74">
        <f>'Пр. 9'!M53</f>
        <v>0</v>
      </c>
    </row>
    <row r="788" spans="1:12" ht="60">
      <c r="A788" s="102" t="s">
        <v>409</v>
      </c>
      <c r="B788" s="100" t="s">
        <v>397</v>
      </c>
      <c r="C788" s="117">
        <v>3</v>
      </c>
      <c r="D788" s="99" t="s">
        <v>147</v>
      </c>
      <c r="E788" s="100" t="s">
        <v>410</v>
      </c>
      <c r="F788" s="117"/>
      <c r="G788" s="100"/>
      <c r="H788" s="74">
        <f>H789</f>
        <v>474.59999999999997</v>
      </c>
      <c r="I788" s="74">
        <f>I789</f>
        <v>474.59999999999997</v>
      </c>
      <c r="J788" s="101">
        <f t="shared" si="62"/>
        <v>0</v>
      </c>
      <c r="K788" s="74">
        <f>K789</f>
        <v>452.6</v>
      </c>
      <c r="L788" s="74">
        <f>L789</f>
        <v>415.6</v>
      </c>
    </row>
    <row r="789" spans="1:12" ht="60">
      <c r="A789" s="102" t="s">
        <v>680</v>
      </c>
      <c r="B789" s="100" t="s">
        <v>397</v>
      </c>
      <c r="C789" s="117">
        <v>3</v>
      </c>
      <c r="D789" s="99" t="s">
        <v>147</v>
      </c>
      <c r="E789" s="100" t="s">
        <v>410</v>
      </c>
      <c r="F789" s="117">
        <v>100</v>
      </c>
      <c r="G789" s="100"/>
      <c r="H789" s="74">
        <f>H790</f>
        <v>474.59999999999997</v>
      </c>
      <c r="I789" s="74">
        <f>I790</f>
        <v>474.59999999999997</v>
      </c>
      <c r="J789" s="101">
        <f t="shared" si="62"/>
        <v>0</v>
      </c>
      <c r="K789" s="74">
        <f>K790</f>
        <v>452.6</v>
      </c>
      <c r="L789" s="74">
        <f>L790</f>
        <v>415.6</v>
      </c>
    </row>
    <row r="790" spans="1:12" ht="30">
      <c r="A790" s="102" t="s">
        <v>47</v>
      </c>
      <c r="B790" s="100" t="s">
        <v>397</v>
      </c>
      <c r="C790" s="117">
        <v>3</v>
      </c>
      <c r="D790" s="99" t="s">
        <v>147</v>
      </c>
      <c r="E790" s="100" t="s">
        <v>410</v>
      </c>
      <c r="F790" s="117">
        <v>100</v>
      </c>
      <c r="G790" s="100" t="s">
        <v>48</v>
      </c>
      <c r="H790" s="74">
        <f>'Пр. 9'!I1093</f>
        <v>474.59999999999997</v>
      </c>
      <c r="I790" s="74">
        <f>'Пр. 9'!J1093</f>
        <v>474.59999999999997</v>
      </c>
      <c r="J790" s="101">
        <f t="shared" si="62"/>
        <v>0</v>
      </c>
      <c r="K790" s="74">
        <f>'Пр. 9'!L1093</f>
        <v>452.6</v>
      </c>
      <c r="L790" s="74">
        <f>'Пр. 9'!M1093</f>
        <v>415.6</v>
      </c>
    </row>
    <row r="791" spans="1:12" ht="90">
      <c r="A791" s="102" t="s">
        <v>411</v>
      </c>
      <c r="B791" s="100" t="s">
        <v>397</v>
      </c>
      <c r="C791" s="117">
        <v>3</v>
      </c>
      <c r="D791" s="99" t="s">
        <v>147</v>
      </c>
      <c r="E791" s="100" t="s">
        <v>412</v>
      </c>
      <c r="F791" s="117"/>
      <c r="G791" s="100"/>
      <c r="H791" s="74">
        <f>H792+H794</f>
        <v>5759.599999999999</v>
      </c>
      <c r="I791" s="74">
        <f>I792+I794</f>
        <v>5759.599999999999</v>
      </c>
      <c r="J791" s="101">
        <f t="shared" si="62"/>
        <v>0</v>
      </c>
      <c r="K791" s="74">
        <f>K792+K794</f>
        <v>4295</v>
      </c>
      <c r="L791" s="74">
        <f>L792+L794</f>
        <v>4431.5</v>
      </c>
    </row>
    <row r="792" spans="1:12" ht="60">
      <c r="A792" s="102" t="s">
        <v>680</v>
      </c>
      <c r="B792" s="100" t="s">
        <v>397</v>
      </c>
      <c r="C792" s="117">
        <v>3</v>
      </c>
      <c r="D792" s="99" t="s">
        <v>147</v>
      </c>
      <c r="E792" s="100" t="s">
        <v>412</v>
      </c>
      <c r="F792" s="117">
        <v>100</v>
      </c>
      <c r="G792" s="100"/>
      <c r="H792" s="74">
        <f>H793</f>
        <v>4162.9</v>
      </c>
      <c r="I792" s="74">
        <f>I793</f>
        <v>4162.9</v>
      </c>
      <c r="J792" s="101">
        <f t="shared" si="62"/>
        <v>0</v>
      </c>
      <c r="K792" s="74">
        <f>K793</f>
        <v>3126.2</v>
      </c>
      <c r="L792" s="74">
        <f>L793</f>
        <v>4431.5</v>
      </c>
    </row>
    <row r="793" spans="1:12" ht="15">
      <c r="A793" s="102" t="s">
        <v>51</v>
      </c>
      <c r="B793" s="100" t="s">
        <v>397</v>
      </c>
      <c r="C793" s="117">
        <v>3</v>
      </c>
      <c r="D793" s="99" t="s">
        <v>147</v>
      </c>
      <c r="E793" s="100" t="s">
        <v>412</v>
      </c>
      <c r="F793" s="117">
        <v>100</v>
      </c>
      <c r="G793" s="100" t="s">
        <v>52</v>
      </c>
      <c r="H793" s="74">
        <f>'Пр. 9'!I111</f>
        <v>4162.9</v>
      </c>
      <c r="I793" s="74">
        <f>'Пр. 9'!J111</f>
        <v>4162.9</v>
      </c>
      <c r="J793" s="101">
        <f t="shared" si="62"/>
        <v>0</v>
      </c>
      <c r="K793" s="74">
        <f>'Пр. 9'!L111</f>
        <v>3126.2</v>
      </c>
      <c r="L793" s="74">
        <f>'Пр. 9'!M111</f>
        <v>4431.5</v>
      </c>
    </row>
    <row r="794" spans="1:12" ht="30">
      <c r="A794" s="102" t="s">
        <v>683</v>
      </c>
      <c r="B794" s="100" t="s">
        <v>397</v>
      </c>
      <c r="C794" s="117">
        <v>3</v>
      </c>
      <c r="D794" s="99" t="s">
        <v>147</v>
      </c>
      <c r="E794" s="100" t="s">
        <v>412</v>
      </c>
      <c r="F794" s="117">
        <v>200</v>
      </c>
      <c r="G794" s="100"/>
      <c r="H794" s="74">
        <f>H795</f>
        <v>1596.7</v>
      </c>
      <c r="I794" s="74">
        <f>I795</f>
        <v>1596.7</v>
      </c>
      <c r="J794" s="101">
        <f t="shared" si="62"/>
        <v>0</v>
      </c>
      <c r="K794" s="74">
        <f>K795</f>
        <v>1168.8</v>
      </c>
      <c r="L794" s="74">
        <f>L795</f>
        <v>0</v>
      </c>
    </row>
    <row r="795" spans="1:12" ht="15">
      <c r="A795" s="102" t="s">
        <v>51</v>
      </c>
      <c r="B795" s="100" t="s">
        <v>397</v>
      </c>
      <c r="C795" s="117">
        <v>3</v>
      </c>
      <c r="D795" s="99" t="s">
        <v>147</v>
      </c>
      <c r="E795" s="100" t="s">
        <v>412</v>
      </c>
      <c r="F795" s="117">
        <v>200</v>
      </c>
      <c r="G795" s="100" t="s">
        <v>52</v>
      </c>
      <c r="H795" s="74">
        <f>'Пр. 9'!I112</f>
        <v>1596.7</v>
      </c>
      <c r="I795" s="74">
        <f>'Пр. 9'!J112</f>
        <v>1596.7</v>
      </c>
      <c r="J795" s="101">
        <f t="shared" si="62"/>
        <v>0</v>
      </c>
      <c r="K795" s="74">
        <f>'Пр. 9'!L112</f>
        <v>1168.8</v>
      </c>
      <c r="L795" s="74">
        <f>'Пр. 9'!M112</f>
        <v>0</v>
      </c>
    </row>
    <row r="796" spans="1:12" ht="52.5" customHeight="1">
      <c r="A796" s="111" t="s">
        <v>986</v>
      </c>
      <c r="B796" s="100" t="s">
        <v>397</v>
      </c>
      <c r="C796" s="100" t="s">
        <v>134</v>
      </c>
      <c r="D796" s="100" t="s">
        <v>147</v>
      </c>
      <c r="E796" s="100" t="s">
        <v>987</v>
      </c>
      <c r="F796" s="99"/>
      <c r="G796" s="100"/>
      <c r="H796" s="74">
        <f>H797</f>
        <v>1543.2</v>
      </c>
      <c r="I796" s="74">
        <f>I797</f>
        <v>1543.2</v>
      </c>
      <c r="J796" s="101">
        <f t="shared" si="62"/>
        <v>0</v>
      </c>
      <c r="K796" s="74">
        <f>K797</f>
        <v>0</v>
      </c>
      <c r="L796" s="74">
        <f>L797</f>
        <v>0</v>
      </c>
    </row>
    <row r="797" spans="1:12" ht="35.25" customHeight="1">
      <c r="A797" s="111" t="s">
        <v>683</v>
      </c>
      <c r="B797" s="100" t="s">
        <v>397</v>
      </c>
      <c r="C797" s="100" t="s">
        <v>134</v>
      </c>
      <c r="D797" s="100" t="s">
        <v>147</v>
      </c>
      <c r="E797" s="100" t="s">
        <v>987</v>
      </c>
      <c r="F797" s="117">
        <v>200</v>
      </c>
      <c r="G797" s="100"/>
      <c r="H797" s="74">
        <f>H798+H799+H800+H801</f>
        <v>1543.2</v>
      </c>
      <c r="I797" s="74">
        <f>I798+I799+I800+I801</f>
        <v>1543.2</v>
      </c>
      <c r="J797" s="101">
        <f t="shared" si="62"/>
        <v>0</v>
      </c>
      <c r="K797" s="74">
        <f>K798+K799+K800+K801</f>
        <v>0</v>
      </c>
      <c r="L797" s="74">
        <f>L798+L799+L800+L801</f>
        <v>0</v>
      </c>
    </row>
    <row r="798" spans="1:12" ht="51" customHeight="1">
      <c r="A798" s="102" t="s">
        <v>403</v>
      </c>
      <c r="B798" s="100" t="s">
        <v>397</v>
      </c>
      <c r="C798" s="100" t="s">
        <v>134</v>
      </c>
      <c r="D798" s="100" t="s">
        <v>147</v>
      </c>
      <c r="E798" s="100" t="s">
        <v>987</v>
      </c>
      <c r="F798" s="117">
        <v>200</v>
      </c>
      <c r="G798" s="100" t="s">
        <v>44</v>
      </c>
      <c r="H798" s="74">
        <f>'Пр. 9'!I55</f>
        <v>1543.2</v>
      </c>
      <c r="I798" s="74">
        <f>'Пр. 9'!J55</f>
        <v>1543.2</v>
      </c>
      <c r="J798" s="101">
        <f t="shared" si="62"/>
        <v>0</v>
      </c>
      <c r="K798" s="74">
        <f>'Пр. 9'!L55</f>
        <v>0</v>
      </c>
      <c r="L798" s="74">
        <f>'Пр. 9'!M55</f>
        <v>0</v>
      </c>
    </row>
    <row r="799" spans="1:12" ht="37.5" customHeight="1" hidden="1">
      <c r="A799" s="102" t="s">
        <v>47</v>
      </c>
      <c r="B799" s="100" t="s">
        <v>397</v>
      </c>
      <c r="C799" s="100" t="s">
        <v>134</v>
      </c>
      <c r="D799" s="100" t="s">
        <v>147</v>
      </c>
      <c r="E799" s="100" t="s">
        <v>987</v>
      </c>
      <c r="F799" s="117">
        <v>200</v>
      </c>
      <c r="G799" s="100" t="s">
        <v>48</v>
      </c>
      <c r="H799" s="74">
        <f>'Пр. 9'!I612</f>
        <v>0</v>
      </c>
      <c r="I799" s="74">
        <f>'Пр. 9'!J612</f>
        <v>0</v>
      </c>
      <c r="J799" s="101">
        <f t="shared" si="62"/>
        <v>0</v>
      </c>
      <c r="K799" s="74">
        <f>'Пр. 9'!L612</f>
        <v>0</v>
      </c>
      <c r="L799" s="74">
        <f>'Пр. 9'!M612</f>
        <v>0</v>
      </c>
    </row>
    <row r="800" spans="1:12" ht="39" customHeight="1" hidden="1">
      <c r="A800" s="102" t="s">
        <v>51</v>
      </c>
      <c r="B800" s="100" t="s">
        <v>397</v>
      </c>
      <c r="C800" s="100" t="s">
        <v>134</v>
      </c>
      <c r="D800" s="100" t="s">
        <v>147</v>
      </c>
      <c r="E800" s="100" t="s">
        <v>987</v>
      </c>
      <c r="F800" s="117">
        <v>200</v>
      </c>
      <c r="G800" s="100" t="s">
        <v>52</v>
      </c>
      <c r="H800" s="74">
        <f>'Пр. 9'!I730</f>
        <v>0</v>
      </c>
      <c r="I800" s="74">
        <f>'Пр. 9'!J730</f>
        <v>0</v>
      </c>
      <c r="J800" s="101">
        <f t="shared" si="62"/>
        <v>0</v>
      </c>
      <c r="K800" s="74">
        <f>'Пр. 9'!L730</f>
        <v>0</v>
      </c>
      <c r="L800" s="74">
        <f>'Пр. 9'!M730</f>
        <v>0</v>
      </c>
    </row>
    <row r="801" spans="1:12" ht="25.5" customHeight="1" hidden="1">
      <c r="A801" s="88" t="s">
        <v>95</v>
      </c>
      <c r="B801" s="100" t="s">
        <v>397</v>
      </c>
      <c r="C801" s="100" t="s">
        <v>134</v>
      </c>
      <c r="D801" s="100" t="s">
        <v>147</v>
      </c>
      <c r="E801" s="100" t="s">
        <v>987</v>
      </c>
      <c r="F801" s="117">
        <v>200</v>
      </c>
      <c r="G801" s="100" t="s">
        <v>96</v>
      </c>
      <c r="H801" s="74">
        <f>'Пр. 9'!I844</f>
        <v>0</v>
      </c>
      <c r="I801" s="74">
        <f>'Пр. 9'!J844</f>
        <v>0</v>
      </c>
      <c r="J801" s="101">
        <f t="shared" si="62"/>
        <v>0</v>
      </c>
      <c r="K801" s="74">
        <f>'Пр. 9'!L844</f>
        <v>0</v>
      </c>
      <c r="L801" s="74">
        <f>'Пр. 9'!M844</f>
        <v>0</v>
      </c>
    </row>
    <row r="802" spans="1:12" ht="34.5" customHeight="1" hidden="1">
      <c r="A802" s="102" t="s">
        <v>179</v>
      </c>
      <c r="B802" s="100" t="s">
        <v>397</v>
      </c>
      <c r="C802" s="117">
        <v>3</v>
      </c>
      <c r="D802" s="99" t="s">
        <v>147</v>
      </c>
      <c r="E802" s="100" t="s">
        <v>180</v>
      </c>
      <c r="F802" s="117"/>
      <c r="G802" s="100"/>
      <c r="H802" s="74">
        <f>H803</f>
        <v>0</v>
      </c>
      <c r="I802" s="74">
        <f>I803</f>
        <v>0</v>
      </c>
      <c r="J802" s="101">
        <f t="shared" si="62"/>
        <v>0</v>
      </c>
      <c r="K802" s="74">
        <f>K803</f>
        <v>0</v>
      </c>
      <c r="L802" s="74">
        <f>L803</f>
        <v>0</v>
      </c>
    </row>
    <row r="803" spans="1:12" ht="35.25" customHeight="1" hidden="1">
      <c r="A803" s="102" t="s">
        <v>680</v>
      </c>
      <c r="B803" s="100" t="s">
        <v>397</v>
      </c>
      <c r="C803" s="117">
        <v>3</v>
      </c>
      <c r="D803" s="99" t="s">
        <v>147</v>
      </c>
      <c r="E803" s="100" t="s">
        <v>180</v>
      </c>
      <c r="F803" s="117">
        <v>100</v>
      </c>
      <c r="G803" s="100"/>
      <c r="H803" s="74">
        <f>H804</f>
        <v>0</v>
      </c>
      <c r="I803" s="74">
        <f>I804</f>
        <v>0</v>
      </c>
      <c r="J803" s="101">
        <f t="shared" si="62"/>
        <v>0</v>
      </c>
      <c r="K803" s="74">
        <f>K804</f>
        <v>0</v>
      </c>
      <c r="L803" s="74">
        <f>L804</f>
        <v>0</v>
      </c>
    </row>
    <row r="804" spans="1:12" ht="24" customHeight="1" hidden="1">
      <c r="A804" s="102" t="s">
        <v>47</v>
      </c>
      <c r="B804" s="100" t="s">
        <v>397</v>
      </c>
      <c r="C804" s="117">
        <v>3</v>
      </c>
      <c r="D804" s="99" t="s">
        <v>147</v>
      </c>
      <c r="E804" s="100" t="s">
        <v>180</v>
      </c>
      <c r="F804" s="117">
        <v>100</v>
      </c>
      <c r="G804" s="100" t="s">
        <v>48</v>
      </c>
      <c r="H804" s="74">
        <f>'Пр. 9'!I614</f>
        <v>0</v>
      </c>
      <c r="I804" s="74">
        <f>'Пр. 9'!J614</f>
        <v>0</v>
      </c>
      <c r="J804" s="101">
        <f t="shared" si="62"/>
        <v>0</v>
      </c>
      <c r="K804" s="74">
        <f>'Пр. 9'!L614</f>
        <v>0</v>
      </c>
      <c r="L804" s="74">
        <f>'Пр. 9'!M614</f>
        <v>0</v>
      </c>
    </row>
    <row r="805" spans="1:12" ht="30">
      <c r="A805" s="111" t="s">
        <v>327</v>
      </c>
      <c r="B805" s="100" t="s">
        <v>397</v>
      </c>
      <c r="C805" s="100" t="s">
        <v>134</v>
      </c>
      <c r="D805" s="100" t="s">
        <v>147</v>
      </c>
      <c r="E805" s="100" t="s">
        <v>328</v>
      </c>
      <c r="F805" s="99"/>
      <c r="G805" s="100"/>
      <c r="H805" s="74">
        <f>H806+H808+H810</f>
        <v>10181.5</v>
      </c>
      <c r="I805" s="74">
        <f>I806+I808+I810</f>
        <v>10181.5</v>
      </c>
      <c r="J805" s="101">
        <f t="shared" si="62"/>
        <v>0</v>
      </c>
      <c r="K805" s="74">
        <f>K806+K808+K810</f>
        <v>10181.5</v>
      </c>
      <c r="L805" s="74">
        <f>L806+L808+L810</f>
        <v>10181.5</v>
      </c>
    </row>
    <row r="806" spans="1:12" ht="60">
      <c r="A806" s="111" t="s">
        <v>680</v>
      </c>
      <c r="B806" s="100" t="s">
        <v>397</v>
      </c>
      <c r="C806" s="100" t="s">
        <v>134</v>
      </c>
      <c r="D806" s="100" t="s">
        <v>147</v>
      </c>
      <c r="E806" s="100" t="s">
        <v>328</v>
      </c>
      <c r="F806" s="99" t="s">
        <v>681</v>
      </c>
      <c r="G806" s="100"/>
      <c r="H806" s="74">
        <f>H807</f>
        <v>8484.6</v>
      </c>
      <c r="I806" s="74">
        <f>I807</f>
        <v>8484.6</v>
      </c>
      <c r="J806" s="101">
        <f t="shared" si="62"/>
        <v>0</v>
      </c>
      <c r="K806" s="74">
        <f>K807</f>
        <v>8484.6</v>
      </c>
      <c r="L806" s="74">
        <f>L807</f>
        <v>8484.6</v>
      </c>
    </row>
    <row r="807" spans="1:12" ht="45">
      <c r="A807" s="102" t="s">
        <v>43</v>
      </c>
      <c r="B807" s="100" t="s">
        <v>397</v>
      </c>
      <c r="C807" s="100" t="s">
        <v>134</v>
      </c>
      <c r="D807" s="100" t="s">
        <v>147</v>
      </c>
      <c r="E807" s="100" t="s">
        <v>328</v>
      </c>
      <c r="F807" s="99" t="s">
        <v>681</v>
      </c>
      <c r="G807" s="100" t="s">
        <v>44</v>
      </c>
      <c r="H807" s="74">
        <f>'Пр. 9'!I57</f>
        <v>8484.6</v>
      </c>
      <c r="I807" s="74">
        <f>'Пр. 9'!J57</f>
        <v>8484.6</v>
      </c>
      <c r="J807" s="101">
        <f t="shared" si="62"/>
        <v>0</v>
      </c>
      <c r="K807" s="74">
        <f>'Пр. 9'!L57</f>
        <v>8484.6</v>
      </c>
      <c r="L807" s="74">
        <f>'Пр. 9'!M57</f>
        <v>8484.6</v>
      </c>
    </row>
    <row r="808" spans="1:12" ht="30">
      <c r="A808" s="111" t="s">
        <v>683</v>
      </c>
      <c r="B808" s="100" t="s">
        <v>397</v>
      </c>
      <c r="C808" s="100" t="s">
        <v>134</v>
      </c>
      <c r="D808" s="100" t="s">
        <v>147</v>
      </c>
      <c r="E808" s="100" t="s">
        <v>328</v>
      </c>
      <c r="F808" s="99" t="s">
        <v>682</v>
      </c>
      <c r="G808" s="100"/>
      <c r="H808" s="74">
        <f>H809</f>
        <v>1696.9</v>
      </c>
      <c r="I808" s="74">
        <f>I809</f>
        <v>1696.9</v>
      </c>
      <c r="J808" s="101">
        <f t="shared" si="62"/>
        <v>0</v>
      </c>
      <c r="K808" s="74">
        <f>K809</f>
        <v>1696.9</v>
      </c>
      <c r="L808" s="74">
        <f>L809</f>
        <v>1696.9</v>
      </c>
    </row>
    <row r="809" spans="1:12" ht="45">
      <c r="A809" s="102" t="s">
        <v>43</v>
      </c>
      <c r="B809" s="100" t="s">
        <v>397</v>
      </c>
      <c r="C809" s="100" t="s">
        <v>134</v>
      </c>
      <c r="D809" s="100" t="s">
        <v>147</v>
      </c>
      <c r="E809" s="100" t="s">
        <v>328</v>
      </c>
      <c r="F809" s="99" t="s">
        <v>682</v>
      </c>
      <c r="G809" s="100" t="s">
        <v>44</v>
      </c>
      <c r="H809" s="74">
        <f>'Пр. 9'!I58</f>
        <v>1696.9</v>
      </c>
      <c r="I809" s="74">
        <f>'Пр. 9'!J58</f>
        <v>1696.9</v>
      </c>
      <c r="J809" s="101">
        <f t="shared" si="62"/>
        <v>0</v>
      </c>
      <c r="K809" s="74">
        <f>'Пр. 9'!L58</f>
        <v>1696.9</v>
      </c>
      <c r="L809" s="74">
        <f>'Пр. 9'!M58</f>
        <v>1696.9</v>
      </c>
    </row>
    <row r="810" spans="1:12" ht="15" hidden="1">
      <c r="A810" s="111" t="s">
        <v>684</v>
      </c>
      <c r="B810" s="100" t="s">
        <v>397</v>
      </c>
      <c r="C810" s="100" t="s">
        <v>134</v>
      </c>
      <c r="D810" s="100" t="s">
        <v>147</v>
      </c>
      <c r="E810" s="100" t="s">
        <v>328</v>
      </c>
      <c r="F810" s="99" t="s">
        <v>685</v>
      </c>
      <c r="G810" s="100"/>
      <c r="H810" s="74">
        <f>H811</f>
        <v>0</v>
      </c>
      <c r="I810" s="74">
        <f>I811</f>
        <v>0</v>
      </c>
      <c r="J810" s="101">
        <f t="shared" si="62"/>
        <v>0</v>
      </c>
      <c r="K810" s="74">
        <f>K811</f>
        <v>0</v>
      </c>
      <c r="L810" s="74">
        <f>L811</f>
        <v>0</v>
      </c>
    </row>
    <row r="811" spans="1:12" ht="45" hidden="1">
      <c r="A811" s="102" t="s">
        <v>43</v>
      </c>
      <c r="B811" s="100" t="s">
        <v>397</v>
      </c>
      <c r="C811" s="100" t="s">
        <v>134</v>
      </c>
      <c r="D811" s="100" t="s">
        <v>147</v>
      </c>
      <c r="E811" s="100" t="s">
        <v>328</v>
      </c>
      <c r="F811" s="99" t="s">
        <v>685</v>
      </c>
      <c r="G811" s="100" t="s">
        <v>44</v>
      </c>
      <c r="H811" s="74">
        <f>'Пр. 9'!I59</f>
        <v>0</v>
      </c>
      <c r="I811" s="74">
        <f>'Пр. 9'!J59</f>
        <v>0</v>
      </c>
      <c r="J811" s="101">
        <f t="shared" si="62"/>
        <v>0</v>
      </c>
      <c r="K811" s="74">
        <f>'Пр. 9'!L59</f>
        <v>0</v>
      </c>
      <c r="L811" s="74">
        <f>'Пр. 9'!M59</f>
        <v>0</v>
      </c>
    </row>
    <row r="812" spans="1:12" ht="15">
      <c r="A812" s="102" t="s">
        <v>413</v>
      </c>
      <c r="B812" s="100" t="s">
        <v>397</v>
      </c>
      <c r="C812" s="117">
        <v>3</v>
      </c>
      <c r="D812" s="99" t="s">
        <v>147</v>
      </c>
      <c r="E812" s="100" t="s">
        <v>414</v>
      </c>
      <c r="F812" s="117"/>
      <c r="G812" s="100"/>
      <c r="H812" s="74">
        <f>H813</f>
        <v>1488.2</v>
      </c>
      <c r="I812" s="74">
        <f>I813</f>
        <v>1488.2</v>
      </c>
      <c r="J812" s="101">
        <f t="shared" si="62"/>
        <v>0</v>
      </c>
      <c r="K812" s="74">
        <f>K813</f>
        <v>1488.2</v>
      </c>
      <c r="L812" s="74">
        <f>L813</f>
        <v>1488.2</v>
      </c>
    </row>
    <row r="813" spans="1:12" ht="60">
      <c r="A813" s="102" t="s">
        <v>680</v>
      </c>
      <c r="B813" s="100" t="s">
        <v>397</v>
      </c>
      <c r="C813" s="117">
        <v>3</v>
      </c>
      <c r="D813" s="99" t="s">
        <v>147</v>
      </c>
      <c r="E813" s="100" t="s">
        <v>414</v>
      </c>
      <c r="F813" s="117">
        <v>100</v>
      </c>
      <c r="G813" s="100"/>
      <c r="H813" s="74">
        <f>H814</f>
        <v>1488.2</v>
      </c>
      <c r="I813" s="74">
        <f>I814</f>
        <v>1488.2</v>
      </c>
      <c r="J813" s="101">
        <f aca="true" t="shared" si="66" ref="J813:J879">I813-H813</f>
        <v>0</v>
      </c>
      <c r="K813" s="74">
        <f>K814</f>
        <v>1488.2</v>
      </c>
      <c r="L813" s="74">
        <f>L814</f>
        <v>1488.2</v>
      </c>
    </row>
    <row r="814" spans="1:12" ht="45">
      <c r="A814" s="102" t="s">
        <v>43</v>
      </c>
      <c r="B814" s="100" t="s">
        <v>397</v>
      </c>
      <c r="C814" s="117">
        <v>3</v>
      </c>
      <c r="D814" s="99" t="s">
        <v>147</v>
      </c>
      <c r="E814" s="100" t="s">
        <v>414</v>
      </c>
      <c r="F814" s="117">
        <v>100</v>
      </c>
      <c r="G814" s="100" t="s">
        <v>44</v>
      </c>
      <c r="H814" s="74">
        <f>'Пр. 9'!I61</f>
        <v>1488.2</v>
      </c>
      <c r="I814" s="74">
        <f>'Пр. 9'!J61</f>
        <v>1488.2</v>
      </c>
      <c r="J814" s="101">
        <f t="shared" si="66"/>
        <v>0</v>
      </c>
      <c r="K814" s="74">
        <f>'Пр. 9'!L61</f>
        <v>1488.2</v>
      </c>
      <c r="L814" s="74">
        <f>'Пр. 9'!M61</f>
        <v>1488.2</v>
      </c>
    </row>
    <row r="815" spans="1:12" ht="30">
      <c r="A815" s="102" t="s">
        <v>415</v>
      </c>
      <c r="B815" s="100" t="s">
        <v>397</v>
      </c>
      <c r="C815" s="117">
        <v>3</v>
      </c>
      <c r="D815" s="99" t="s">
        <v>147</v>
      </c>
      <c r="E815" s="100" t="s">
        <v>416</v>
      </c>
      <c r="F815" s="128"/>
      <c r="G815" s="100"/>
      <c r="H815" s="74">
        <f>H816+H818</f>
        <v>600</v>
      </c>
      <c r="I815" s="74">
        <f>I816+I818</f>
        <v>442.6</v>
      </c>
      <c r="J815" s="101">
        <f t="shared" si="66"/>
        <v>-157.39999999999998</v>
      </c>
      <c r="K815" s="74">
        <f>K816+K818</f>
        <v>623.9000000000001</v>
      </c>
      <c r="L815" s="74">
        <f>L816+L818</f>
        <v>648.9</v>
      </c>
    </row>
    <row r="816" spans="1:12" ht="60">
      <c r="A816" s="102" t="s">
        <v>680</v>
      </c>
      <c r="B816" s="100" t="s">
        <v>397</v>
      </c>
      <c r="C816" s="117">
        <v>3</v>
      </c>
      <c r="D816" s="99" t="s">
        <v>147</v>
      </c>
      <c r="E816" s="100" t="s">
        <v>416</v>
      </c>
      <c r="F816" s="117">
        <v>100</v>
      </c>
      <c r="G816" s="100"/>
      <c r="H816" s="74">
        <f>H817</f>
        <v>545.5</v>
      </c>
      <c r="I816" s="74">
        <f>I817</f>
        <v>424.5</v>
      </c>
      <c r="J816" s="101">
        <f t="shared" si="66"/>
        <v>-121</v>
      </c>
      <c r="K816" s="74">
        <f>K817</f>
        <v>567.2</v>
      </c>
      <c r="L816" s="74">
        <f>L817</f>
        <v>589.9</v>
      </c>
    </row>
    <row r="817" spans="1:12" ht="45">
      <c r="A817" s="102" t="s">
        <v>403</v>
      </c>
      <c r="B817" s="100" t="s">
        <v>397</v>
      </c>
      <c r="C817" s="117">
        <v>3</v>
      </c>
      <c r="D817" s="99" t="s">
        <v>147</v>
      </c>
      <c r="E817" s="100" t="s">
        <v>416</v>
      </c>
      <c r="F817" s="117">
        <v>100</v>
      </c>
      <c r="G817" s="100" t="s">
        <v>44</v>
      </c>
      <c r="H817" s="74">
        <f>'Пр. 9'!I63</f>
        <v>545.5</v>
      </c>
      <c r="I817" s="74">
        <f>'Пр. 9'!J63</f>
        <v>424.5</v>
      </c>
      <c r="J817" s="101">
        <f t="shared" si="66"/>
        <v>-121</v>
      </c>
      <c r="K817" s="74">
        <f>'Пр. 9'!L63</f>
        <v>567.2</v>
      </c>
      <c r="L817" s="74">
        <f>'Пр. 9'!M63</f>
        <v>589.9</v>
      </c>
    </row>
    <row r="818" spans="1:12" ht="30">
      <c r="A818" s="102" t="s">
        <v>683</v>
      </c>
      <c r="B818" s="100" t="s">
        <v>397</v>
      </c>
      <c r="C818" s="117">
        <v>3</v>
      </c>
      <c r="D818" s="99" t="s">
        <v>147</v>
      </c>
      <c r="E818" s="100" t="s">
        <v>416</v>
      </c>
      <c r="F818" s="99" t="s">
        <v>682</v>
      </c>
      <c r="G818" s="100"/>
      <c r="H818" s="74">
        <f>H819</f>
        <v>54.5</v>
      </c>
      <c r="I818" s="74">
        <f>I819</f>
        <v>18.1</v>
      </c>
      <c r="J818" s="101">
        <f t="shared" si="66"/>
        <v>-36.4</v>
      </c>
      <c r="K818" s="74">
        <f>K819</f>
        <v>56.7</v>
      </c>
      <c r="L818" s="74">
        <f>L819</f>
        <v>59</v>
      </c>
    </row>
    <row r="819" spans="1:12" ht="45">
      <c r="A819" s="102" t="s">
        <v>403</v>
      </c>
      <c r="B819" s="100" t="s">
        <v>397</v>
      </c>
      <c r="C819" s="117">
        <v>3</v>
      </c>
      <c r="D819" s="99" t="s">
        <v>147</v>
      </c>
      <c r="E819" s="100" t="s">
        <v>416</v>
      </c>
      <c r="F819" s="99" t="s">
        <v>682</v>
      </c>
      <c r="G819" s="100" t="s">
        <v>44</v>
      </c>
      <c r="H819" s="74">
        <f>'Пр. 9'!I64</f>
        <v>54.5</v>
      </c>
      <c r="I819" s="74">
        <f>'Пр. 9'!J64</f>
        <v>18.1</v>
      </c>
      <c r="J819" s="101">
        <f t="shared" si="66"/>
        <v>-36.4</v>
      </c>
      <c r="K819" s="74">
        <f>'Пр. 9'!L64</f>
        <v>56.7</v>
      </c>
      <c r="L819" s="74">
        <f>'Пр. 9'!M64</f>
        <v>59</v>
      </c>
    </row>
    <row r="820" spans="1:12" ht="45" hidden="1">
      <c r="A820" s="102" t="s">
        <v>417</v>
      </c>
      <c r="B820" s="100" t="s">
        <v>397</v>
      </c>
      <c r="C820" s="117">
        <v>3</v>
      </c>
      <c r="D820" s="99" t="s">
        <v>147</v>
      </c>
      <c r="E820" s="100" t="s">
        <v>418</v>
      </c>
      <c r="F820" s="99"/>
      <c r="G820" s="100"/>
      <c r="H820" s="74">
        <f>H821</f>
        <v>0</v>
      </c>
      <c r="I820" s="74">
        <f>I821</f>
        <v>0</v>
      </c>
      <c r="J820" s="101">
        <f t="shared" si="66"/>
        <v>0</v>
      </c>
      <c r="K820" s="74">
        <f>K821</f>
        <v>0</v>
      </c>
      <c r="L820" s="74">
        <f>L821</f>
        <v>0</v>
      </c>
    </row>
    <row r="821" spans="1:12" ht="60" hidden="1">
      <c r="A821" s="102" t="s">
        <v>680</v>
      </c>
      <c r="B821" s="100" t="s">
        <v>397</v>
      </c>
      <c r="C821" s="117">
        <v>3</v>
      </c>
      <c r="D821" s="99" t="s">
        <v>147</v>
      </c>
      <c r="E821" s="100" t="s">
        <v>418</v>
      </c>
      <c r="F821" s="99" t="s">
        <v>681</v>
      </c>
      <c r="G821" s="100"/>
      <c r="H821" s="74">
        <f>H822</f>
        <v>0</v>
      </c>
      <c r="I821" s="74">
        <f>I822</f>
        <v>0</v>
      </c>
      <c r="J821" s="101">
        <f t="shared" si="66"/>
        <v>0</v>
      </c>
      <c r="K821" s="74">
        <f>K822</f>
        <v>0</v>
      </c>
      <c r="L821" s="74">
        <f>L822</f>
        <v>0</v>
      </c>
    </row>
    <row r="822" spans="1:12" ht="15" hidden="1">
      <c r="A822" s="129" t="s">
        <v>51</v>
      </c>
      <c r="B822" s="100" t="s">
        <v>397</v>
      </c>
      <c r="C822" s="117">
        <v>3</v>
      </c>
      <c r="D822" s="99" t="s">
        <v>147</v>
      </c>
      <c r="E822" s="100" t="s">
        <v>418</v>
      </c>
      <c r="F822" s="99" t="s">
        <v>681</v>
      </c>
      <c r="G822" s="100" t="s">
        <v>52</v>
      </c>
      <c r="H822" s="74">
        <f>'Пр. 9'!I732</f>
        <v>0</v>
      </c>
      <c r="I822" s="74">
        <f>'Пр. 9'!J732</f>
        <v>0</v>
      </c>
      <c r="J822" s="101">
        <f t="shared" si="66"/>
        <v>0</v>
      </c>
      <c r="K822" s="74">
        <f>'Пр. 9'!L732</f>
        <v>0</v>
      </c>
      <c r="L822" s="74">
        <f>'Пр. 9'!M732</f>
        <v>0</v>
      </c>
    </row>
    <row r="823" spans="1:12" ht="30" hidden="1">
      <c r="A823" s="102" t="s">
        <v>419</v>
      </c>
      <c r="B823" s="100" t="s">
        <v>397</v>
      </c>
      <c r="C823" s="117">
        <v>3</v>
      </c>
      <c r="D823" s="99" t="s">
        <v>147</v>
      </c>
      <c r="E823" s="130" t="s">
        <v>420</v>
      </c>
      <c r="F823" s="131"/>
      <c r="G823" s="130"/>
      <c r="H823" s="74">
        <f>H824</f>
        <v>0</v>
      </c>
      <c r="I823" s="74">
        <f>I824</f>
        <v>0</v>
      </c>
      <c r="J823" s="101">
        <f t="shared" si="66"/>
        <v>0</v>
      </c>
      <c r="K823" s="74">
        <f>K824</f>
        <v>0</v>
      </c>
      <c r="L823" s="74">
        <f>L824</f>
        <v>0</v>
      </c>
    </row>
    <row r="824" spans="1:12" ht="60" hidden="1">
      <c r="A824" s="102" t="s">
        <v>680</v>
      </c>
      <c r="B824" s="100" t="s">
        <v>397</v>
      </c>
      <c r="C824" s="117">
        <v>3</v>
      </c>
      <c r="D824" s="99" t="s">
        <v>147</v>
      </c>
      <c r="E824" s="130" t="s">
        <v>420</v>
      </c>
      <c r="F824" s="131">
        <v>100</v>
      </c>
      <c r="G824" s="130"/>
      <c r="H824" s="74">
        <f>H825</f>
        <v>0</v>
      </c>
      <c r="I824" s="74">
        <f>I825</f>
        <v>0</v>
      </c>
      <c r="J824" s="101">
        <f t="shared" si="66"/>
        <v>0</v>
      </c>
      <c r="K824" s="74">
        <f>K825</f>
        <v>0</v>
      </c>
      <c r="L824" s="74">
        <f>L825</f>
        <v>0</v>
      </c>
    </row>
    <row r="825" spans="1:12" s="9" customFormat="1" ht="45" hidden="1">
      <c r="A825" s="102" t="s">
        <v>41</v>
      </c>
      <c r="B825" s="100" t="s">
        <v>397</v>
      </c>
      <c r="C825" s="117">
        <v>3</v>
      </c>
      <c r="D825" s="99" t="s">
        <v>147</v>
      </c>
      <c r="E825" s="130" t="s">
        <v>420</v>
      </c>
      <c r="F825" s="131">
        <v>100</v>
      </c>
      <c r="G825" s="130" t="s">
        <v>42</v>
      </c>
      <c r="H825" s="74">
        <f>'Пр. 9'!I785</f>
        <v>0</v>
      </c>
      <c r="I825" s="74">
        <f>'Пр. 9'!J785</f>
        <v>0</v>
      </c>
      <c r="J825" s="101">
        <f t="shared" si="66"/>
        <v>0</v>
      </c>
      <c r="K825" s="74">
        <f>'Пр. 9'!L785</f>
        <v>0</v>
      </c>
      <c r="L825" s="74">
        <f>'Пр. 9'!M785</f>
        <v>0</v>
      </c>
    </row>
    <row r="826" spans="1:12" ht="45">
      <c r="A826" s="102" t="s">
        <v>421</v>
      </c>
      <c r="B826" s="100" t="s">
        <v>397</v>
      </c>
      <c r="C826" s="117">
        <v>3</v>
      </c>
      <c r="D826" s="99" t="s">
        <v>147</v>
      </c>
      <c r="E826" s="130" t="s">
        <v>422</v>
      </c>
      <c r="F826" s="131"/>
      <c r="G826" s="130"/>
      <c r="H826" s="74">
        <f>H827</f>
        <v>200</v>
      </c>
      <c r="I826" s="74">
        <f>I827</f>
        <v>200</v>
      </c>
      <c r="J826" s="101">
        <f t="shared" si="66"/>
        <v>0</v>
      </c>
      <c r="K826" s="74">
        <f>K827</f>
        <v>0</v>
      </c>
      <c r="L826" s="74">
        <f>L827</f>
        <v>0</v>
      </c>
    </row>
    <row r="827" spans="1:12" ht="60">
      <c r="A827" s="102" t="s">
        <v>680</v>
      </c>
      <c r="B827" s="100" t="s">
        <v>397</v>
      </c>
      <c r="C827" s="117">
        <v>3</v>
      </c>
      <c r="D827" s="99" t="s">
        <v>147</v>
      </c>
      <c r="E827" s="130" t="s">
        <v>422</v>
      </c>
      <c r="F827" s="131">
        <v>100</v>
      </c>
      <c r="G827" s="130"/>
      <c r="H827" s="74">
        <f>H828</f>
        <v>200</v>
      </c>
      <c r="I827" s="74">
        <f>I828</f>
        <v>200</v>
      </c>
      <c r="J827" s="101">
        <f t="shared" si="66"/>
        <v>0</v>
      </c>
      <c r="K827" s="74">
        <f>K828</f>
        <v>0</v>
      </c>
      <c r="L827" s="74">
        <f>L828</f>
        <v>0</v>
      </c>
    </row>
    <row r="828" spans="1:12" ht="30">
      <c r="A828" s="102" t="s">
        <v>47</v>
      </c>
      <c r="B828" s="100" t="s">
        <v>397</v>
      </c>
      <c r="C828" s="117">
        <v>3</v>
      </c>
      <c r="D828" s="99" t="s">
        <v>147</v>
      </c>
      <c r="E828" s="130" t="s">
        <v>422</v>
      </c>
      <c r="F828" s="131">
        <v>100</v>
      </c>
      <c r="G828" s="130" t="s">
        <v>48</v>
      </c>
      <c r="H828" s="74">
        <f>'Пр. 9'!I1095</f>
        <v>200</v>
      </c>
      <c r="I828" s="74">
        <f>'Пр. 9'!J1095</f>
        <v>200</v>
      </c>
      <c r="J828" s="101">
        <f t="shared" si="66"/>
        <v>0</v>
      </c>
      <c r="K828" s="74">
        <f>'Пр. 9'!L1095</f>
        <v>0</v>
      </c>
      <c r="L828" s="74">
        <f>'Пр. 9'!M1095</f>
        <v>0</v>
      </c>
    </row>
    <row r="829" spans="1:12" ht="42.75">
      <c r="A829" s="97" t="s">
        <v>423</v>
      </c>
      <c r="B829" s="95" t="s">
        <v>397</v>
      </c>
      <c r="C829" s="67" t="s">
        <v>135</v>
      </c>
      <c r="D829" s="67" t="s">
        <v>149</v>
      </c>
      <c r="E829" s="67" t="s">
        <v>150</v>
      </c>
      <c r="F829" s="67"/>
      <c r="G829" s="95"/>
      <c r="H829" s="36">
        <f aca="true" t="shared" si="67" ref="H829:I832">H830</f>
        <v>2625</v>
      </c>
      <c r="I829" s="36">
        <f t="shared" si="67"/>
        <v>2625</v>
      </c>
      <c r="J829" s="96">
        <f t="shared" si="66"/>
        <v>0</v>
      </c>
      <c r="K829" s="36">
        <f aca="true" t="shared" si="68" ref="K829:L832">K830</f>
        <v>2729</v>
      </c>
      <c r="L829" s="36">
        <f t="shared" si="68"/>
        <v>2838</v>
      </c>
    </row>
    <row r="830" spans="1:14" ht="14.25">
      <c r="A830" s="97" t="s">
        <v>399</v>
      </c>
      <c r="B830" s="95" t="s">
        <v>397</v>
      </c>
      <c r="C830" s="94" t="s">
        <v>135</v>
      </c>
      <c r="D830" s="95" t="s">
        <v>147</v>
      </c>
      <c r="E830" s="95" t="s">
        <v>150</v>
      </c>
      <c r="F830" s="94"/>
      <c r="G830" s="95"/>
      <c r="H830" s="36">
        <f t="shared" si="67"/>
        <v>2625</v>
      </c>
      <c r="I830" s="36">
        <f t="shared" si="67"/>
        <v>2625</v>
      </c>
      <c r="J830" s="96">
        <f t="shared" si="66"/>
        <v>0</v>
      </c>
      <c r="K830" s="36">
        <f t="shared" si="68"/>
        <v>2729</v>
      </c>
      <c r="L830" s="36">
        <f t="shared" si="68"/>
        <v>2838</v>
      </c>
      <c r="N830" s="37"/>
    </row>
    <row r="831" spans="1:12" ht="15">
      <c r="A831" s="102" t="s">
        <v>400</v>
      </c>
      <c r="B831" s="100" t="s">
        <v>397</v>
      </c>
      <c r="C831" s="117">
        <v>4</v>
      </c>
      <c r="D831" s="100" t="s">
        <v>147</v>
      </c>
      <c r="E831" s="100" t="s">
        <v>401</v>
      </c>
      <c r="F831" s="117"/>
      <c r="G831" s="100"/>
      <c r="H831" s="36">
        <f t="shared" si="67"/>
        <v>2625</v>
      </c>
      <c r="I831" s="36">
        <f t="shared" si="67"/>
        <v>2625</v>
      </c>
      <c r="J831" s="96">
        <f t="shared" si="66"/>
        <v>0</v>
      </c>
      <c r="K831" s="36">
        <f t="shared" si="68"/>
        <v>2729</v>
      </c>
      <c r="L831" s="36">
        <f t="shared" si="68"/>
        <v>2838</v>
      </c>
    </row>
    <row r="832" spans="1:12" ht="60">
      <c r="A832" s="102" t="s">
        <v>680</v>
      </c>
      <c r="B832" s="100" t="s">
        <v>397</v>
      </c>
      <c r="C832" s="117">
        <v>4</v>
      </c>
      <c r="D832" s="100" t="s">
        <v>147</v>
      </c>
      <c r="E832" s="100" t="s">
        <v>401</v>
      </c>
      <c r="F832" s="117">
        <v>100</v>
      </c>
      <c r="G832" s="100"/>
      <c r="H832" s="74">
        <f t="shared" si="67"/>
        <v>2625</v>
      </c>
      <c r="I832" s="74">
        <f t="shared" si="67"/>
        <v>2625</v>
      </c>
      <c r="J832" s="101">
        <f t="shared" si="66"/>
        <v>0</v>
      </c>
      <c r="K832" s="74">
        <f t="shared" si="68"/>
        <v>2729</v>
      </c>
      <c r="L832" s="74">
        <f t="shared" si="68"/>
        <v>2838</v>
      </c>
    </row>
    <row r="833" spans="1:15" ht="30">
      <c r="A833" s="102" t="s">
        <v>47</v>
      </c>
      <c r="B833" s="100" t="s">
        <v>397</v>
      </c>
      <c r="C833" s="117">
        <v>4</v>
      </c>
      <c r="D833" s="100" t="s">
        <v>147</v>
      </c>
      <c r="E833" s="100" t="s">
        <v>401</v>
      </c>
      <c r="F833" s="117">
        <v>100</v>
      </c>
      <c r="G833" s="100" t="s">
        <v>48</v>
      </c>
      <c r="H833" s="74">
        <f>'Пр. 9'!I1099</f>
        <v>2625</v>
      </c>
      <c r="I833" s="74">
        <f>'Пр. 9'!J1099</f>
        <v>2625</v>
      </c>
      <c r="J833" s="101">
        <f t="shared" si="66"/>
        <v>0</v>
      </c>
      <c r="K833" s="74">
        <f>'Пр. 9'!L1099</f>
        <v>2729</v>
      </c>
      <c r="L833" s="74">
        <f>'Пр. 9'!M1099</f>
        <v>2838</v>
      </c>
      <c r="O833" s="37"/>
    </row>
    <row r="834" spans="1:12" ht="28.5">
      <c r="A834" s="110" t="s">
        <v>424</v>
      </c>
      <c r="B834" s="95" t="s">
        <v>425</v>
      </c>
      <c r="C834" s="94">
        <v>0</v>
      </c>
      <c r="D834" s="95" t="s">
        <v>149</v>
      </c>
      <c r="E834" s="95" t="s">
        <v>150</v>
      </c>
      <c r="F834" s="94"/>
      <c r="G834" s="95"/>
      <c r="H834" s="36">
        <f>H835</f>
        <v>161937.4</v>
      </c>
      <c r="I834" s="36">
        <f>I835</f>
        <v>172606.9</v>
      </c>
      <c r="J834" s="96">
        <f t="shared" si="66"/>
        <v>10669.5</v>
      </c>
      <c r="K834" s="36">
        <f>K835</f>
        <v>109792.29999999999</v>
      </c>
      <c r="L834" s="36">
        <f>L835</f>
        <v>134546.5</v>
      </c>
    </row>
    <row r="835" spans="1:12" ht="14.25">
      <c r="A835" s="97" t="s">
        <v>399</v>
      </c>
      <c r="B835" s="67" t="s">
        <v>425</v>
      </c>
      <c r="C835" s="67" t="s">
        <v>329</v>
      </c>
      <c r="D835" s="67" t="s">
        <v>149</v>
      </c>
      <c r="E835" s="67" t="s">
        <v>150</v>
      </c>
      <c r="F835" s="67"/>
      <c r="G835" s="95"/>
      <c r="H835" s="36">
        <f>H836</f>
        <v>161937.4</v>
      </c>
      <c r="I835" s="36">
        <f>I836</f>
        <v>172606.9</v>
      </c>
      <c r="J835" s="96">
        <f t="shared" si="66"/>
        <v>10669.5</v>
      </c>
      <c r="K835" s="36">
        <f>K836</f>
        <v>109792.29999999999</v>
      </c>
      <c r="L835" s="36">
        <f>L836</f>
        <v>134546.5</v>
      </c>
    </row>
    <row r="836" spans="1:12" ht="14.25">
      <c r="A836" s="97" t="s">
        <v>399</v>
      </c>
      <c r="B836" s="95" t="s">
        <v>426</v>
      </c>
      <c r="C836" s="94" t="s">
        <v>329</v>
      </c>
      <c r="D836" s="95" t="s">
        <v>147</v>
      </c>
      <c r="E836" s="95" t="s">
        <v>150</v>
      </c>
      <c r="F836" s="94"/>
      <c r="G836" s="95"/>
      <c r="H836" s="36">
        <f>H837+H847+H852+H855+H859+H862+H865+H877+H880+H885+H888+H893+H896+H907+H910+H913+H918+H921+H924+H927+H930+H933+H936+H939+H942+H945+H948+H951+H954+H966+H969+H972+H975+H978+H981+H990+H996+H1005+H1008+H1016+H1019+H1022+H1025+H1028+H871+H903+H874+H999+H984+H987+H1031+H957+H960+H963+H868</f>
        <v>161937.4</v>
      </c>
      <c r="I836" s="36">
        <f>I837+I847+I852+I855+I859+I862+I865+I877+I880+I885+I888+I893+I896+I907+I910+I913+I918+I921+I924+I927+I930+I933+I936+I939+I942+I945+I948+I951+I954+I966+I969+I972+I975+I978+I981+I990+I996+I1005+I1008+I1016+I1019+I1022+I1025+I1028+I871+I903+I874+I999+I984+I987+I1031+I957+I960+I963+I868</f>
        <v>172606.9</v>
      </c>
      <c r="J836" s="96">
        <f t="shared" si="66"/>
        <v>10669.5</v>
      </c>
      <c r="K836" s="36">
        <f>K837+K847+K852+K855+K859+K862+K865+K877+K880+K885+K888+K893+K896+K907+K910+K913+K918+K921+K924+K927+K930+K933+K936+K939+K942+K945+K948+K951+K954+K966+K969+K972+K975+K978+K981+K990+K996+K1005+K1008+K1016+K1019+K1022+K1025+K1028+K871+K903+K874+K999+K984+K987+K1031+K957+K960+K963+K868</f>
        <v>109792.29999999999</v>
      </c>
      <c r="L836" s="36">
        <f>L837+L847+L852+L855+L859+L862+L865+L877+L880+L885+L888+L893+L896+L907+L910+L913+L918+L921+L924+L927+L930+L933+L936+L939+L942+L945+L948+L951+L954+L966+L969+L972+L975+L978+L981+L990+L996+L1005+L1008+L1016+L1019+L1022+L1025+L1028+L871+L903+L874+L999+L984+L987+L1031+L957+L960+L963+L868</f>
        <v>134546.5</v>
      </c>
    </row>
    <row r="837" spans="1:12" ht="15">
      <c r="A837" s="22" t="s">
        <v>189</v>
      </c>
      <c r="B837" s="100" t="s">
        <v>425</v>
      </c>
      <c r="C837" s="117">
        <v>9</v>
      </c>
      <c r="D837" s="100" t="s">
        <v>147</v>
      </c>
      <c r="E837" s="100" t="s">
        <v>190</v>
      </c>
      <c r="F837" s="117"/>
      <c r="G837" s="100"/>
      <c r="H837" s="74">
        <f>H838+H841+H844</f>
        <v>78862.3</v>
      </c>
      <c r="I837" s="74">
        <f>I838+I841+I844</f>
        <v>78362.3</v>
      </c>
      <c r="J837" s="101">
        <f t="shared" si="66"/>
        <v>-500</v>
      </c>
      <c r="K837" s="74">
        <f>K838+K841+K844</f>
        <v>74063.5</v>
      </c>
      <c r="L837" s="74">
        <f>L838+L841+L844</f>
        <v>76647.20000000001</v>
      </c>
    </row>
    <row r="838" spans="1:12" ht="60">
      <c r="A838" s="107" t="s">
        <v>680</v>
      </c>
      <c r="B838" s="100" t="s">
        <v>425</v>
      </c>
      <c r="C838" s="117">
        <v>9</v>
      </c>
      <c r="D838" s="100" t="s">
        <v>147</v>
      </c>
      <c r="E838" s="100" t="s">
        <v>190</v>
      </c>
      <c r="F838" s="117">
        <v>100</v>
      </c>
      <c r="G838" s="100"/>
      <c r="H838" s="74">
        <f>H839+H840</f>
        <v>60287</v>
      </c>
      <c r="I838" s="74">
        <f>I839+I840</f>
        <v>60287</v>
      </c>
      <c r="J838" s="101">
        <f t="shared" si="66"/>
        <v>0</v>
      </c>
      <c r="K838" s="74">
        <f>K839+K840</f>
        <v>62019.9</v>
      </c>
      <c r="L838" s="74">
        <f>L839+L840</f>
        <v>64481.5</v>
      </c>
    </row>
    <row r="839" spans="1:12" ht="15">
      <c r="A839" s="102" t="s">
        <v>51</v>
      </c>
      <c r="B839" s="100" t="s">
        <v>425</v>
      </c>
      <c r="C839" s="117">
        <v>9</v>
      </c>
      <c r="D839" s="100" t="s">
        <v>147</v>
      </c>
      <c r="E839" s="100" t="s">
        <v>190</v>
      </c>
      <c r="F839" s="117">
        <v>100</v>
      </c>
      <c r="G839" s="100" t="s">
        <v>52</v>
      </c>
      <c r="H839" s="74">
        <f>'Пр. 9'!I117</f>
        <v>40848</v>
      </c>
      <c r="I839" s="74">
        <f>'Пр. 9'!J117</f>
        <v>40848</v>
      </c>
      <c r="J839" s="101">
        <f t="shared" si="66"/>
        <v>0</v>
      </c>
      <c r="K839" s="74">
        <f>'Пр. 9'!L117</f>
        <v>41634.9</v>
      </c>
      <c r="L839" s="74">
        <f>'Пр. 9'!M117</f>
        <v>43287.5</v>
      </c>
    </row>
    <row r="840" spans="1:12" ht="15">
      <c r="A840" s="102" t="s">
        <v>95</v>
      </c>
      <c r="B840" s="100" t="s">
        <v>425</v>
      </c>
      <c r="C840" s="117">
        <v>9</v>
      </c>
      <c r="D840" s="100" t="s">
        <v>147</v>
      </c>
      <c r="E840" s="100" t="s">
        <v>190</v>
      </c>
      <c r="F840" s="117">
        <v>100</v>
      </c>
      <c r="G840" s="100" t="s">
        <v>96</v>
      </c>
      <c r="H840" s="74">
        <f>'Пр. 9'!I1044</f>
        <v>19439</v>
      </c>
      <c r="I840" s="74">
        <f>'Пр. 9'!J1044</f>
        <v>19439</v>
      </c>
      <c r="J840" s="101">
        <f t="shared" si="66"/>
        <v>0</v>
      </c>
      <c r="K840" s="74">
        <f>'Пр. 9'!L1044</f>
        <v>20385</v>
      </c>
      <c r="L840" s="74">
        <f>'Пр. 9'!M1044</f>
        <v>21194</v>
      </c>
    </row>
    <row r="841" spans="1:12" ht="30">
      <c r="A841" s="102" t="s">
        <v>683</v>
      </c>
      <c r="B841" s="100" t="s">
        <v>425</v>
      </c>
      <c r="C841" s="117">
        <v>9</v>
      </c>
      <c r="D841" s="100" t="s">
        <v>147</v>
      </c>
      <c r="E841" s="100" t="s">
        <v>190</v>
      </c>
      <c r="F841" s="117">
        <v>200</v>
      </c>
      <c r="G841" s="100"/>
      <c r="H841" s="74">
        <f>H842+H843</f>
        <v>18442.6</v>
      </c>
      <c r="I841" s="74">
        <f>I842+I843</f>
        <v>17942.6</v>
      </c>
      <c r="J841" s="101">
        <f t="shared" si="66"/>
        <v>-500</v>
      </c>
      <c r="K841" s="74">
        <f>K842+K843</f>
        <v>11856</v>
      </c>
      <c r="L841" s="74">
        <f>L842+L843</f>
        <v>11978.1</v>
      </c>
    </row>
    <row r="842" spans="1:12" ht="15">
      <c r="A842" s="102" t="s">
        <v>51</v>
      </c>
      <c r="B842" s="100" t="s">
        <v>425</v>
      </c>
      <c r="C842" s="117">
        <v>9</v>
      </c>
      <c r="D842" s="100" t="s">
        <v>147</v>
      </c>
      <c r="E842" s="100" t="s">
        <v>190</v>
      </c>
      <c r="F842" s="117">
        <v>200</v>
      </c>
      <c r="G842" s="100" t="s">
        <v>52</v>
      </c>
      <c r="H842" s="74">
        <f>'Пр. 9'!I118</f>
        <v>18270.6</v>
      </c>
      <c r="I842" s="74">
        <f>'Пр. 9'!J118</f>
        <v>17770.6</v>
      </c>
      <c r="J842" s="101">
        <f t="shared" si="66"/>
        <v>-500</v>
      </c>
      <c r="K842" s="74">
        <f>'Пр. 9'!L118</f>
        <v>11856</v>
      </c>
      <c r="L842" s="74">
        <f>'Пр. 9'!M118</f>
        <v>11978.1</v>
      </c>
    </row>
    <row r="843" spans="1:12" ht="15">
      <c r="A843" s="102" t="s">
        <v>95</v>
      </c>
      <c r="B843" s="100" t="s">
        <v>425</v>
      </c>
      <c r="C843" s="117">
        <v>9</v>
      </c>
      <c r="D843" s="100" t="s">
        <v>147</v>
      </c>
      <c r="E843" s="100" t="s">
        <v>190</v>
      </c>
      <c r="F843" s="117">
        <v>200</v>
      </c>
      <c r="G843" s="100" t="s">
        <v>96</v>
      </c>
      <c r="H843" s="74">
        <f>'Пр. 9'!I1045</f>
        <v>172</v>
      </c>
      <c r="I843" s="74">
        <f>'Пр. 9'!J1045</f>
        <v>172</v>
      </c>
      <c r="J843" s="101">
        <f t="shared" si="66"/>
        <v>0</v>
      </c>
      <c r="K843" s="74">
        <f>'Пр. 9'!L1045</f>
        <v>0</v>
      </c>
      <c r="L843" s="74">
        <f>'Пр. 9'!M1045</f>
        <v>0</v>
      </c>
    </row>
    <row r="844" spans="1:12" ht="15">
      <c r="A844" s="102" t="s">
        <v>684</v>
      </c>
      <c r="B844" s="100" t="s">
        <v>425</v>
      </c>
      <c r="C844" s="117">
        <v>9</v>
      </c>
      <c r="D844" s="100" t="s">
        <v>147</v>
      </c>
      <c r="E844" s="100" t="s">
        <v>190</v>
      </c>
      <c r="F844" s="117">
        <v>800</v>
      </c>
      <c r="G844" s="100"/>
      <c r="H844" s="74">
        <f>H845+H846</f>
        <v>132.7</v>
      </c>
      <c r="I844" s="74">
        <f>I845+I846</f>
        <v>132.7</v>
      </c>
      <c r="J844" s="101">
        <f t="shared" si="66"/>
        <v>0</v>
      </c>
      <c r="K844" s="74">
        <f>K845+K846</f>
        <v>187.6</v>
      </c>
      <c r="L844" s="74">
        <f>L845+L846</f>
        <v>187.6</v>
      </c>
    </row>
    <row r="845" spans="1:12" ht="15">
      <c r="A845" s="102" t="s">
        <v>51</v>
      </c>
      <c r="B845" s="100" t="s">
        <v>425</v>
      </c>
      <c r="C845" s="117">
        <v>9</v>
      </c>
      <c r="D845" s="100" t="s">
        <v>147</v>
      </c>
      <c r="E845" s="100" t="s">
        <v>190</v>
      </c>
      <c r="F845" s="117">
        <v>800</v>
      </c>
      <c r="G845" s="100" t="s">
        <v>52</v>
      </c>
      <c r="H845" s="74">
        <f>'Пр. 9'!I119</f>
        <v>130.7</v>
      </c>
      <c r="I845" s="74">
        <f>'Пр. 9'!J119</f>
        <v>130.7</v>
      </c>
      <c r="J845" s="101">
        <f t="shared" si="66"/>
        <v>0</v>
      </c>
      <c r="K845" s="74">
        <f>'Пр. 9'!L119</f>
        <v>187.6</v>
      </c>
      <c r="L845" s="74">
        <f>'Пр. 9'!M119</f>
        <v>187.6</v>
      </c>
    </row>
    <row r="846" spans="1:12" ht="15">
      <c r="A846" s="102" t="s">
        <v>95</v>
      </c>
      <c r="B846" s="100" t="s">
        <v>425</v>
      </c>
      <c r="C846" s="117">
        <v>9</v>
      </c>
      <c r="D846" s="100" t="s">
        <v>147</v>
      </c>
      <c r="E846" s="100" t="s">
        <v>190</v>
      </c>
      <c r="F846" s="117">
        <v>800</v>
      </c>
      <c r="G846" s="100" t="s">
        <v>96</v>
      </c>
      <c r="H846" s="74">
        <f>'Пр. 9'!I1046</f>
        <v>2</v>
      </c>
      <c r="I846" s="74">
        <f>'Пр. 9'!J1046</f>
        <v>2</v>
      </c>
      <c r="J846" s="101">
        <f t="shared" si="66"/>
        <v>0</v>
      </c>
      <c r="K846" s="74">
        <f>'Пр. 9'!L1046</f>
        <v>0</v>
      </c>
      <c r="L846" s="74">
        <f>'Пр. 9'!M1046</f>
        <v>0</v>
      </c>
    </row>
    <row r="847" spans="1:12" s="9" customFormat="1" ht="18" customHeight="1" hidden="1">
      <c r="A847" s="109" t="s">
        <v>712</v>
      </c>
      <c r="B847" s="100" t="s">
        <v>425</v>
      </c>
      <c r="C847" s="100" t="s">
        <v>329</v>
      </c>
      <c r="D847" s="100" t="s">
        <v>147</v>
      </c>
      <c r="E847" s="100" t="s">
        <v>711</v>
      </c>
      <c r="F847" s="117"/>
      <c r="G847" s="100"/>
      <c r="H847" s="74">
        <f>H848+H850</f>
        <v>0</v>
      </c>
      <c r="I847" s="74">
        <f>I848+I850</f>
        <v>0</v>
      </c>
      <c r="J847" s="101">
        <f t="shared" si="66"/>
        <v>0</v>
      </c>
      <c r="K847" s="74">
        <f>K848+K850</f>
        <v>0</v>
      </c>
      <c r="L847" s="74">
        <f>L848+L850</f>
        <v>0</v>
      </c>
    </row>
    <row r="848" spans="1:12" ht="22.5" customHeight="1" hidden="1">
      <c r="A848" s="111" t="s">
        <v>680</v>
      </c>
      <c r="B848" s="100" t="s">
        <v>425</v>
      </c>
      <c r="C848" s="100" t="s">
        <v>329</v>
      </c>
      <c r="D848" s="100" t="s">
        <v>147</v>
      </c>
      <c r="E848" s="100" t="s">
        <v>711</v>
      </c>
      <c r="F848" s="117">
        <v>100</v>
      </c>
      <c r="G848" s="100"/>
      <c r="H848" s="74">
        <f>H849</f>
        <v>0</v>
      </c>
      <c r="I848" s="74">
        <f>I849</f>
        <v>0</v>
      </c>
      <c r="J848" s="101">
        <f t="shared" si="66"/>
        <v>0</v>
      </c>
      <c r="K848" s="74">
        <f>K849</f>
        <v>0</v>
      </c>
      <c r="L848" s="74">
        <f>L849</f>
        <v>0</v>
      </c>
    </row>
    <row r="849" spans="1:12" ht="20.25" customHeight="1" hidden="1">
      <c r="A849" s="102" t="s">
        <v>51</v>
      </c>
      <c r="B849" s="100" t="s">
        <v>425</v>
      </c>
      <c r="C849" s="100" t="s">
        <v>329</v>
      </c>
      <c r="D849" s="100" t="s">
        <v>147</v>
      </c>
      <c r="E849" s="100" t="s">
        <v>711</v>
      </c>
      <c r="F849" s="117">
        <v>100</v>
      </c>
      <c r="G849" s="100" t="s">
        <v>52</v>
      </c>
      <c r="H849" s="74">
        <f>'Пр. 9'!I121</f>
        <v>0</v>
      </c>
      <c r="I849" s="74">
        <f>'Пр. 9'!J121</f>
        <v>0</v>
      </c>
      <c r="J849" s="101">
        <f t="shared" si="66"/>
        <v>0</v>
      </c>
      <c r="K849" s="74">
        <f>'Пр. 9'!L121</f>
        <v>0</v>
      </c>
      <c r="L849" s="74">
        <f>'Пр. 9'!M121</f>
        <v>0</v>
      </c>
    </row>
    <row r="850" spans="1:12" s="5" customFormat="1" ht="14.25" customHeight="1" hidden="1">
      <c r="A850" s="111" t="s">
        <v>683</v>
      </c>
      <c r="B850" s="100" t="s">
        <v>425</v>
      </c>
      <c r="C850" s="100" t="s">
        <v>329</v>
      </c>
      <c r="D850" s="100" t="s">
        <v>147</v>
      </c>
      <c r="E850" s="100" t="s">
        <v>711</v>
      </c>
      <c r="F850" s="117">
        <v>200</v>
      </c>
      <c r="G850" s="100"/>
      <c r="H850" s="74">
        <f>H851</f>
        <v>0</v>
      </c>
      <c r="I850" s="74">
        <f>I851</f>
        <v>0</v>
      </c>
      <c r="J850" s="101">
        <f t="shared" si="66"/>
        <v>0</v>
      </c>
      <c r="K850" s="74">
        <f>K851</f>
        <v>0</v>
      </c>
      <c r="L850" s="74">
        <f>L851</f>
        <v>0</v>
      </c>
    </row>
    <row r="851" spans="1:12" ht="16.5" customHeight="1" hidden="1">
      <c r="A851" s="102" t="s">
        <v>51</v>
      </c>
      <c r="B851" s="100" t="s">
        <v>425</v>
      </c>
      <c r="C851" s="100" t="s">
        <v>329</v>
      </c>
      <c r="D851" s="100" t="s">
        <v>147</v>
      </c>
      <c r="E851" s="100" t="s">
        <v>711</v>
      </c>
      <c r="F851" s="117">
        <v>200</v>
      </c>
      <c r="G851" s="100" t="s">
        <v>52</v>
      </c>
      <c r="H851" s="74">
        <f>'Пр. 9'!I122</f>
        <v>0</v>
      </c>
      <c r="I851" s="74">
        <f>'Пр. 9'!J122</f>
        <v>0</v>
      </c>
      <c r="J851" s="101">
        <f t="shared" si="66"/>
        <v>0</v>
      </c>
      <c r="K851" s="74">
        <f>'Пр. 9'!L122</f>
        <v>0</v>
      </c>
      <c r="L851" s="74">
        <f>'Пр. 9'!M122</f>
        <v>0</v>
      </c>
    </row>
    <row r="852" spans="1:12" ht="15">
      <c r="A852" s="102" t="s">
        <v>301</v>
      </c>
      <c r="B852" s="100" t="s">
        <v>425</v>
      </c>
      <c r="C852" s="100" t="s">
        <v>329</v>
      </c>
      <c r="D852" s="99" t="s">
        <v>147</v>
      </c>
      <c r="E852" s="99" t="s">
        <v>302</v>
      </c>
      <c r="F852" s="99"/>
      <c r="G852" s="100"/>
      <c r="H852" s="74">
        <f>H853</f>
        <v>18087.4</v>
      </c>
      <c r="I852" s="74">
        <f>I853</f>
        <v>18640.2</v>
      </c>
      <c r="J852" s="101">
        <f t="shared" si="66"/>
        <v>552.7999999999993</v>
      </c>
      <c r="K852" s="74">
        <f>K853</f>
        <v>18087.4</v>
      </c>
      <c r="L852" s="74">
        <f>L853</f>
        <v>18087.4</v>
      </c>
    </row>
    <row r="853" spans="1:12" s="9" customFormat="1" ht="15">
      <c r="A853" s="102" t="s">
        <v>687</v>
      </c>
      <c r="B853" s="100" t="s">
        <v>425</v>
      </c>
      <c r="C853" s="100" t="s">
        <v>329</v>
      </c>
      <c r="D853" s="99" t="s">
        <v>147</v>
      </c>
      <c r="E853" s="99" t="s">
        <v>302</v>
      </c>
      <c r="F853" s="99" t="s">
        <v>686</v>
      </c>
      <c r="G853" s="100"/>
      <c r="H853" s="74">
        <f>H854</f>
        <v>18087.4</v>
      </c>
      <c r="I853" s="74">
        <f>I854</f>
        <v>18640.2</v>
      </c>
      <c r="J853" s="101">
        <f t="shared" si="66"/>
        <v>552.7999999999993</v>
      </c>
      <c r="K853" s="74">
        <f>K854</f>
        <v>18087.4</v>
      </c>
      <c r="L853" s="74">
        <f>L854</f>
        <v>18087.4</v>
      </c>
    </row>
    <row r="854" spans="1:12" s="9" customFormat="1" ht="15">
      <c r="A854" s="22" t="s">
        <v>103</v>
      </c>
      <c r="B854" s="100" t="s">
        <v>425</v>
      </c>
      <c r="C854" s="100" t="s">
        <v>329</v>
      </c>
      <c r="D854" s="99" t="s">
        <v>147</v>
      </c>
      <c r="E854" s="99" t="s">
        <v>302</v>
      </c>
      <c r="F854" s="99" t="s">
        <v>686</v>
      </c>
      <c r="G854" s="100" t="s">
        <v>104</v>
      </c>
      <c r="H854" s="74">
        <f>'Пр. 9'!I493</f>
        <v>18087.4</v>
      </c>
      <c r="I854" s="74">
        <f>'Пр. 9'!J493</f>
        <v>18640.2</v>
      </c>
      <c r="J854" s="101">
        <f t="shared" si="66"/>
        <v>552.7999999999993</v>
      </c>
      <c r="K854" s="74">
        <f>'Пр. 9'!L493</f>
        <v>18087.4</v>
      </c>
      <c r="L854" s="74">
        <f>'Пр. 9'!M493</f>
        <v>18087.4</v>
      </c>
    </row>
    <row r="855" spans="1:12" ht="15" hidden="1">
      <c r="A855" s="122" t="s">
        <v>235</v>
      </c>
      <c r="B855" s="100" t="s">
        <v>425</v>
      </c>
      <c r="C855" s="100" t="s">
        <v>329</v>
      </c>
      <c r="D855" s="99" t="s">
        <v>147</v>
      </c>
      <c r="E855" s="100" t="s">
        <v>202</v>
      </c>
      <c r="F855" s="99"/>
      <c r="G855" s="100"/>
      <c r="H855" s="74">
        <f>H856</f>
        <v>0</v>
      </c>
      <c r="I855" s="74">
        <f>I856</f>
        <v>0</v>
      </c>
      <c r="J855" s="101">
        <f t="shared" si="66"/>
        <v>0</v>
      </c>
      <c r="K855" s="74">
        <f>K856</f>
        <v>0</v>
      </c>
      <c r="L855" s="74">
        <f>L856</f>
        <v>0</v>
      </c>
    </row>
    <row r="856" spans="1:12" ht="30" hidden="1">
      <c r="A856" s="22" t="s">
        <v>688</v>
      </c>
      <c r="B856" s="100" t="s">
        <v>425</v>
      </c>
      <c r="C856" s="100" t="s">
        <v>329</v>
      </c>
      <c r="D856" s="99" t="s">
        <v>147</v>
      </c>
      <c r="E856" s="100" t="s">
        <v>202</v>
      </c>
      <c r="F856" s="99" t="s">
        <v>689</v>
      </c>
      <c r="G856" s="100"/>
      <c r="H856" s="74">
        <f>H857+H858</f>
        <v>0</v>
      </c>
      <c r="I856" s="74">
        <f>I857+I858</f>
        <v>0</v>
      </c>
      <c r="J856" s="101">
        <f t="shared" si="66"/>
        <v>0</v>
      </c>
      <c r="K856" s="74">
        <f>K857+K858</f>
        <v>0</v>
      </c>
      <c r="L856" s="74">
        <f>L857+L858</f>
        <v>0</v>
      </c>
    </row>
    <row r="857" spans="1:12" ht="15" hidden="1">
      <c r="A857" s="22" t="s">
        <v>87</v>
      </c>
      <c r="B857" s="100" t="s">
        <v>425</v>
      </c>
      <c r="C857" s="100" t="s">
        <v>329</v>
      </c>
      <c r="D857" s="99" t="s">
        <v>147</v>
      </c>
      <c r="E857" s="100" t="s">
        <v>202</v>
      </c>
      <c r="F857" s="99" t="s">
        <v>689</v>
      </c>
      <c r="G857" s="100" t="s">
        <v>88</v>
      </c>
      <c r="H857" s="74">
        <f>'Пр. 9'!I955</f>
        <v>0</v>
      </c>
      <c r="I857" s="74">
        <f>'Пр. 9'!J955</f>
        <v>0</v>
      </c>
      <c r="J857" s="101">
        <f t="shared" si="66"/>
        <v>0</v>
      </c>
      <c r="K857" s="74">
        <f>'Пр. 9'!L955</f>
        <v>0</v>
      </c>
      <c r="L857" s="74">
        <f>'Пр. 9'!M955</f>
        <v>0</v>
      </c>
    </row>
    <row r="858" spans="1:12" ht="22.5" customHeight="1" hidden="1">
      <c r="A858" s="22" t="s">
        <v>89</v>
      </c>
      <c r="B858" s="100" t="s">
        <v>425</v>
      </c>
      <c r="C858" s="100" t="s">
        <v>329</v>
      </c>
      <c r="D858" s="99" t="s">
        <v>147</v>
      </c>
      <c r="E858" s="100" t="s">
        <v>202</v>
      </c>
      <c r="F858" s="99" t="s">
        <v>689</v>
      </c>
      <c r="G858" s="100" t="s">
        <v>90</v>
      </c>
      <c r="H858" s="74">
        <f>'Пр. 9'!I414</f>
        <v>0</v>
      </c>
      <c r="I858" s="74">
        <f>'Пр. 9'!J414</f>
        <v>0</v>
      </c>
      <c r="J858" s="101">
        <f t="shared" si="66"/>
        <v>0</v>
      </c>
      <c r="K858" s="74">
        <f>'Пр. 9'!L414</f>
        <v>0</v>
      </c>
      <c r="L858" s="74">
        <f>'Пр. 9'!M414</f>
        <v>0</v>
      </c>
    </row>
    <row r="859" spans="1:12" ht="27.75" customHeight="1" hidden="1">
      <c r="A859" s="102" t="s">
        <v>313</v>
      </c>
      <c r="B859" s="100" t="s">
        <v>425</v>
      </c>
      <c r="C859" s="100" t="s">
        <v>329</v>
      </c>
      <c r="D859" s="99" t="s">
        <v>147</v>
      </c>
      <c r="E859" s="99" t="s">
        <v>314</v>
      </c>
      <c r="F859" s="99"/>
      <c r="G859" s="100"/>
      <c r="H859" s="74">
        <f>H860</f>
        <v>0</v>
      </c>
      <c r="I859" s="74">
        <f>I860</f>
        <v>0</v>
      </c>
      <c r="J859" s="101">
        <f t="shared" si="66"/>
        <v>0</v>
      </c>
      <c r="K859" s="74">
        <f>K860</f>
        <v>0</v>
      </c>
      <c r="L859" s="74">
        <f>L860</f>
        <v>0</v>
      </c>
    </row>
    <row r="860" spans="1:12" ht="22.5" customHeight="1" hidden="1">
      <c r="A860" s="107" t="s">
        <v>684</v>
      </c>
      <c r="B860" s="100" t="s">
        <v>425</v>
      </c>
      <c r="C860" s="100" t="s">
        <v>329</v>
      </c>
      <c r="D860" s="99" t="s">
        <v>147</v>
      </c>
      <c r="E860" s="99" t="s">
        <v>314</v>
      </c>
      <c r="F860" s="99" t="s">
        <v>685</v>
      </c>
      <c r="G860" s="100"/>
      <c r="H860" s="74">
        <f>H861</f>
        <v>0</v>
      </c>
      <c r="I860" s="74">
        <f>I861</f>
        <v>0</v>
      </c>
      <c r="J860" s="101">
        <f t="shared" si="66"/>
        <v>0</v>
      </c>
      <c r="K860" s="74">
        <f>K861</f>
        <v>0</v>
      </c>
      <c r="L860" s="74">
        <f>L861</f>
        <v>0</v>
      </c>
    </row>
    <row r="861" spans="1:12" ht="27" customHeight="1" hidden="1">
      <c r="A861" s="102" t="s">
        <v>61</v>
      </c>
      <c r="B861" s="100" t="s">
        <v>425</v>
      </c>
      <c r="C861" s="100" t="s">
        <v>329</v>
      </c>
      <c r="D861" s="99" t="s">
        <v>147</v>
      </c>
      <c r="E861" s="99" t="s">
        <v>314</v>
      </c>
      <c r="F861" s="99" t="s">
        <v>685</v>
      </c>
      <c r="G861" s="100" t="s">
        <v>62</v>
      </c>
      <c r="H861" s="74">
        <f>'Пр. 9'!I217</f>
        <v>0</v>
      </c>
      <c r="I861" s="74">
        <f>'Пр. 9'!J217</f>
        <v>0</v>
      </c>
      <c r="J861" s="101">
        <f t="shared" si="66"/>
        <v>0</v>
      </c>
      <c r="K861" s="74">
        <f>'Пр. 9'!L217</f>
        <v>0</v>
      </c>
      <c r="L861" s="74">
        <f>'Пр. 9'!M217</f>
        <v>0</v>
      </c>
    </row>
    <row r="862" spans="1:12" ht="23.25" customHeight="1" hidden="1">
      <c r="A862" s="102" t="s">
        <v>427</v>
      </c>
      <c r="B862" s="99" t="s">
        <v>425</v>
      </c>
      <c r="C862" s="99" t="s">
        <v>329</v>
      </c>
      <c r="D862" s="99" t="s">
        <v>147</v>
      </c>
      <c r="E862" s="99" t="s">
        <v>428</v>
      </c>
      <c r="F862" s="99"/>
      <c r="G862" s="99"/>
      <c r="H862" s="74">
        <f>H863</f>
        <v>0</v>
      </c>
      <c r="I862" s="74">
        <f>I863</f>
        <v>0</v>
      </c>
      <c r="J862" s="101">
        <f t="shared" si="66"/>
        <v>0</v>
      </c>
      <c r="K862" s="74">
        <f>K863</f>
        <v>0</v>
      </c>
      <c r="L862" s="74">
        <f>L863</f>
        <v>0</v>
      </c>
    </row>
    <row r="863" spans="1:12" ht="26.25" customHeight="1" hidden="1">
      <c r="A863" s="107" t="s">
        <v>684</v>
      </c>
      <c r="B863" s="99" t="s">
        <v>425</v>
      </c>
      <c r="C863" s="99" t="s">
        <v>329</v>
      </c>
      <c r="D863" s="99" t="s">
        <v>147</v>
      </c>
      <c r="E863" s="99" t="s">
        <v>428</v>
      </c>
      <c r="F863" s="99" t="s">
        <v>685</v>
      </c>
      <c r="G863" s="99"/>
      <c r="H863" s="74">
        <f>H864</f>
        <v>0</v>
      </c>
      <c r="I863" s="74">
        <f>I864</f>
        <v>0</v>
      </c>
      <c r="J863" s="101">
        <f t="shared" si="66"/>
        <v>0</v>
      </c>
      <c r="K863" s="74">
        <f>K864</f>
        <v>0</v>
      </c>
      <c r="L863" s="74">
        <f>L864</f>
        <v>0</v>
      </c>
    </row>
    <row r="864" spans="1:12" ht="36.75" customHeight="1" hidden="1">
      <c r="A864" s="102" t="s">
        <v>61</v>
      </c>
      <c r="B864" s="99" t="s">
        <v>425</v>
      </c>
      <c r="C864" s="99" t="s">
        <v>329</v>
      </c>
      <c r="D864" s="99" t="s">
        <v>147</v>
      </c>
      <c r="E864" s="99" t="s">
        <v>428</v>
      </c>
      <c r="F864" s="99" t="s">
        <v>685</v>
      </c>
      <c r="G864" s="100" t="s">
        <v>62</v>
      </c>
      <c r="H864" s="74">
        <f>'Пр. 9'!I219</f>
        <v>0</v>
      </c>
      <c r="I864" s="74">
        <f>'Пр. 9'!J219</f>
        <v>0</v>
      </c>
      <c r="J864" s="101">
        <f t="shared" si="66"/>
        <v>0</v>
      </c>
      <c r="K864" s="74">
        <f>'Пр. 9'!L219</f>
        <v>0</v>
      </c>
      <c r="L864" s="74">
        <f>'Пр. 9'!M219</f>
        <v>0</v>
      </c>
    </row>
    <row r="865" spans="1:12" ht="27.75" customHeight="1" hidden="1">
      <c r="A865" s="102" t="s">
        <v>639</v>
      </c>
      <c r="B865" s="100" t="s">
        <v>425</v>
      </c>
      <c r="C865" s="100" t="s">
        <v>329</v>
      </c>
      <c r="D865" s="100" t="s">
        <v>147</v>
      </c>
      <c r="E865" s="100" t="s">
        <v>638</v>
      </c>
      <c r="F865" s="117"/>
      <c r="G865" s="100"/>
      <c r="H865" s="74">
        <f>H866</f>
        <v>0</v>
      </c>
      <c r="I865" s="74">
        <f>I866</f>
        <v>0</v>
      </c>
      <c r="J865" s="101">
        <f t="shared" si="66"/>
        <v>0</v>
      </c>
      <c r="K865" s="74">
        <f>K866</f>
        <v>0</v>
      </c>
      <c r="L865" s="74">
        <f>L866</f>
        <v>0</v>
      </c>
    </row>
    <row r="866" spans="1:12" ht="26.25" customHeight="1" hidden="1">
      <c r="A866" s="102" t="s">
        <v>684</v>
      </c>
      <c r="B866" s="100" t="s">
        <v>425</v>
      </c>
      <c r="C866" s="100" t="s">
        <v>329</v>
      </c>
      <c r="D866" s="100" t="s">
        <v>147</v>
      </c>
      <c r="E866" s="100" t="s">
        <v>638</v>
      </c>
      <c r="F866" s="117">
        <v>400</v>
      </c>
      <c r="G866" s="100"/>
      <c r="H866" s="74">
        <f>H867</f>
        <v>0</v>
      </c>
      <c r="I866" s="74">
        <f>I867</f>
        <v>0</v>
      </c>
      <c r="J866" s="101">
        <f t="shared" si="66"/>
        <v>0</v>
      </c>
      <c r="K866" s="74">
        <f>K867</f>
        <v>0</v>
      </c>
      <c r="L866" s="74">
        <f>L867</f>
        <v>0</v>
      </c>
    </row>
    <row r="867" spans="1:12" ht="23.25" customHeight="1" hidden="1">
      <c r="A867" s="102" t="s">
        <v>51</v>
      </c>
      <c r="B867" s="100" t="s">
        <v>425</v>
      </c>
      <c r="C867" s="100" t="s">
        <v>329</v>
      </c>
      <c r="D867" s="100" t="s">
        <v>147</v>
      </c>
      <c r="E867" s="100" t="s">
        <v>638</v>
      </c>
      <c r="F867" s="117">
        <v>400</v>
      </c>
      <c r="G867" s="100" t="s">
        <v>52</v>
      </c>
      <c r="H867" s="74">
        <f>'Пр. 9'!I134</f>
        <v>0</v>
      </c>
      <c r="I867" s="74">
        <f>'Пр. 9'!J134</f>
        <v>0</v>
      </c>
      <c r="J867" s="101">
        <f t="shared" si="66"/>
        <v>0</v>
      </c>
      <c r="K867" s="74">
        <f>'Пр. 9'!L134</f>
        <v>0</v>
      </c>
      <c r="L867" s="74">
        <f>'Пр. 9'!M134</f>
        <v>0</v>
      </c>
    </row>
    <row r="868" spans="1:12" ht="78" customHeight="1">
      <c r="A868" s="115" t="s">
        <v>1123</v>
      </c>
      <c r="B868" s="99" t="s">
        <v>425</v>
      </c>
      <c r="C868" s="99" t="s">
        <v>329</v>
      </c>
      <c r="D868" s="99" t="s">
        <v>147</v>
      </c>
      <c r="E868" s="99" t="s">
        <v>1122</v>
      </c>
      <c r="F868" s="99"/>
      <c r="G868" s="100"/>
      <c r="H868" s="74">
        <f>H869</f>
        <v>1551.5</v>
      </c>
      <c r="I868" s="74">
        <f>I869</f>
        <v>1551.5</v>
      </c>
      <c r="J868" s="101">
        <f t="shared" si="66"/>
        <v>0</v>
      </c>
      <c r="K868" s="74">
        <f>K869</f>
        <v>0</v>
      </c>
      <c r="L868" s="74">
        <f>L869</f>
        <v>0</v>
      </c>
    </row>
    <row r="869" spans="1:12" ht="18" customHeight="1">
      <c r="A869" s="115" t="s">
        <v>684</v>
      </c>
      <c r="B869" s="99" t="s">
        <v>425</v>
      </c>
      <c r="C869" s="99" t="s">
        <v>329</v>
      </c>
      <c r="D869" s="99" t="s">
        <v>147</v>
      </c>
      <c r="E869" s="99" t="s">
        <v>1122</v>
      </c>
      <c r="F869" s="99" t="s">
        <v>685</v>
      </c>
      <c r="G869" s="100"/>
      <c r="H869" s="74">
        <f>H870</f>
        <v>1551.5</v>
      </c>
      <c r="I869" s="74">
        <f>I870</f>
        <v>1551.5</v>
      </c>
      <c r="J869" s="101">
        <f t="shared" si="66"/>
        <v>0</v>
      </c>
      <c r="K869" s="74">
        <f>K870</f>
        <v>0</v>
      </c>
      <c r="L869" s="74">
        <f>L870</f>
        <v>0</v>
      </c>
    </row>
    <row r="870" spans="1:12" ht="23.25" customHeight="1">
      <c r="A870" s="69" t="s">
        <v>61</v>
      </c>
      <c r="B870" s="99" t="s">
        <v>425</v>
      </c>
      <c r="C870" s="99" t="s">
        <v>329</v>
      </c>
      <c r="D870" s="99" t="s">
        <v>147</v>
      </c>
      <c r="E870" s="99" t="s">
        <v>1122</v>
      </c>
      <c r="F870" s="99" t="s">
        <v>685</v>
      </c>
      <c r="G870" s="100" t="s">
        <v>62</v>
      </c>
      <c r="H870" s="74">
        <f>'Пр. 9'!I221</f>
        <v>1551.5</v>
      </c>
      <c r="I870" s="74">
        <f>'Пр. 9'!J221</f>
        <v>1551.5</v>
      </c>
      <c r="J870" s="101">
        <f t="shared" si="66"/>
        <v>0</v>
      </c>
      <c r="K870" s="74">
        <f>'Пр. 9'!L221</f>
        <v>0</v>
      </c>
      <c r="L870" s="74">
        <f>'Пр. 9'!M221</f>
        <v>0</v>
      </c>
    </row>
    <row r="871" spans="1:12" ht="23.25" customHeight="1" hidden="1">
      <c r="A871" s="111" t="s">
        <v>236</v>
      </c>
      <c r="B871" s="100" t="s">
        <v>425</v>
      </c>
      <c r="C871" s="100" t="s">
        <v>329</v>
      </c>
      <c r="D871" s="100" t="s">
        <v>147</v>
      </c>
      <c r="E871" s="100" t="s">
        <v>237</v>
      </c>
      <c r="F871" s="99"/>
      <c r="G871" s="100"/>
      <c r="H871" s="74">
        <f>H872</f>
        <v>0</v>
      </c>
      <c r="I871" s="74">
        <f>I872</f>
        <v>0</v>
      </c>
      <c r="J871" s="101">
        <f t="shared" si="66"/>
        <v>0</v>
      </c>
      <c r="K871" s="74">
        <f>K872</f>
        <v>0</v>
      </c>
      <c r="L871" s="74">
        <f>L872</f>
        <v>0</v>
      </c>
    </row>
    <row r="872" spans="1:12" ht="17.25" customHeight="1" hidden="1">
      <c r="A872" s="109" t="s">
        <v>688</v>
      </c>
      <c r="B872" s="100" t="s">
        <v>425</v>
      </c>
      <c r="C872" s="100" t="s">
        <v>329</v>
      </c>
      <c r="D872" s="100" t="s">
        <v>147</v>
      </c>
      <c r="E872" s="100" t="s">
        <v>237</v>
      </c>
      <c r="F872" s="99" t="s">
        <v>689</v>
      </c>
      <c r="G872" s="100"/>
      <c r="H872" s="74">
        <f>H873</f>
        <v>0</v>
      </c>
      <c r="I872" s="74">
        <f>I873</f>
        <v>0</v>
      </c>
      <c r="J872" s="101">
        <f t="shared" si="66"/>
        <v>0</v>
      </c>
      <c r="K872" s="74">
        <f>K873</f>
        <v>0</v>
      </c>
      <c r="L872" s="74">
        <f>L873</f>
        <v>0</v>
      </c>
    </row>
    <row r="873" spans="1:12" ht="28.5" customHeight="1" hidden="1">
      <c r="A873" s="291" t="s">
        <v>85</v>
      </c>
      <c r="B873" s="100" t="s">
        <v>425</v>
      </c>
      <c r="C873" s="100" t="s">
        <v>329</v>
      </c>
      <c r="D873" s="100" t="s">
        <v>147</v>
      </c>
      <c r="E873" s="100" t="s">
        <v>237</v>
      </c>
      <c r="F873" s="99" t="s">
        <v>689</v>
      </c>
      <c r="G873" s="100" t="s">
        <v>86</v>
      </c>
      <c r="H873" s="74">
        <f>'Пр. 9'!I887</f>
        <v>0</v>
      </c>
      <c r="I873" s="74">
        <f>'Пр. 9'!J887</f>
        <v>0</v>
      </c>
      <c r="J873" s="101">
        <f t="shared" si="66"/>
        <v>0</v>
      </c>
      <c r="K873" s="74">
        <f>'Пр. 9'!L887</f>
        <v>0</v>
      </c>
      <c r="L873" s="74">
        <f>'Пр. 9'!M887</f>
        <v>0</v>
      </c>
    </row>
    <row r="874" spans="1:12" ht="15.75" customHeight="1" hidden="1">
      <c r="A874" s="289" t="s">
        <v>254</v>
      </c>
      <c r="B874" s="100" t="s">
        <v>425</v>
      </c>
      <c r="C874" s="100" t="s">
        <v>329</v>
      </c>
      <c r="D874" s="99" t="s">
        <v>147</v>
      </c>
      <c r="E874" s="100" t="s">
        <v>255</v>
      </c>
      <c r="F874" s="99"/>
      <c r="G874" s="100"/>
      <c r="H874" s="74">
        <f>H875</f>
        <v>0</v>
      </c>
      <c r="I874" s="74">
        <f>I875</f>
        <v>0</v>
      </c>
      <c r="J874" s="101">
        <f t="shared" si="66"/>
        <v>0</v>
      </c>
      <c r="K874" s="74">
        <f>K875</f>
        <v>0</v>
      </c>
      <c r="L874" s="74">
        <f>L875</f>
        <v>0</v>
      </c>
    </row>
    <row r="875" spans="1:12" ht="16.5" customHeight="1" hidden="1">
      <c r="A875" s="109" t="s">
        <v>688</v>
      </c>
      <c r="B875" s="100" t="s">
        <v>425</v>
      </c>
      <c r="C875" s="100" t="s">
        <v>329</v>
      </c>
      <c r="D875" s="99" t="s">
        <v>147</v>
      </c>
      <c r="E875" s="100" t="s">
        <v>255</v>
      </c>
      <c r="F875" s="99" t="s">
        <v>689</v>
      </c>
      <c r="G875" s="100"/>
      <c r="H875" s="74">
        <f>H876</f>
        <v>0</v>
      </c>
      <c r="I875" s="74">
        <f>I876</f>
        <v>0</v>
      </c>
      <c r="J875" s="101">
        <f t="shared" si="66"/>
        <v>0</v>
      </c>
      <c r="K875" s="74">
        <f>K876</f>
        <v>0</v>
      </c>
      <c r="L875" s="74">
        <f>L876</f>
        <v>0</v>
      </c>
    </row>
    <row r="876" spans="1:12" ht="21.75" customHeight="1" hidden="1">
      <c r="A876" s="22" t="s">
        <v>87</v>
      </c>
      <c r="B876" s="100" t="s">
        <v>425</v>
      </c>
      <c r="C876" s="100" t="s">
        <v>329</v>
      </c>
      <c r="D876" s="99" t="s">
        <v>147</v>
      </c>
      <c r="E876" s="100" t="s">
        <v>255</v>
      </c>
      <c r="F876" s="99" t="s">
        <v>689</v>
      </c>
      <c r="G876" s="100" t="s">
        <v>88</v>
      </c>
      <c r="H876" s="74">
        <f>'Пр. 9'!I957</f>
        <v>0</v>
      </c>
      <c r="I876" s="74">
        <f>'Пр. 9'!J957</f>
        <v>0</v>
      </c>
      <c r="J876" s="101">
        <f t="shared" si="66"/>
        <v>0</v>
      </c>
      <c r="K876" s="74">
        <f>'Пр. 9'!L957</f>
        <v>0</v>
      </c>
      <c r="L876" s="74">
        <f>'Пр. 9'!M957</f>
        <v>0</v>
      </c>
    </row>
    <row r="877" spans="1:12" ht="21" customHeight="1" hidden="1">
      <c r="A877" s="102" t="s">
        <v>370</v>
      </c>
      <c r="B877" s="100" t="s">
        <v>425</v>
      </c>
      <c r="C877" s="100" t="s">
        <v>329</v>
      </c>
      <c r="D877" s="99" t="s">
        <v>147</v>
      </c>
      <c r="E877" s="100" t="s">
        <v>371</v>
      </c>
      <c r="F877" s="99"/>
      <c r="G877" s="100"/>
      <c r="H877" s="74">
        <f>H878</f>
        <v>0</v>
      </c>
      <c r="I877" s="74">
        <f>I878</f>
        <v>0</v>
      </c>
      <c r="J877" s="101">
        <f t="shared" si="66"/>
        <v>0</v>
      </c>
      <c r="K877" s="74">
        <f>K878</f>
        <v>0</v>
      </c>
      <c r="L877" s="74">
        <f>L878</f>
        <v>0</v>
      </c>
    </row>
    <row r="878" spans="1:12" ht="25.5" customHeight="1" hidden="1">
      <c r="A878" s="22" t="s">
        <v>688</v>
      </c>
      <c r="B878" s="100" t="s">
        <v>425</v>
      </c>
      <c r="C878" s="100" t="s">
        <v>329</v>
      </c>
      <c r="D878" s="99" t="s">
        <v>147</v>
      </c>
      <c r="E878" s="100" t="s">
        <v>371</v>
      </c>
      <c r="F878" s="99" t="s">
        <v>689</v>
      </c>
      <c r="G878" s="100"/>
      <c r="H878" s="74">
        <f>H879</f>
        <v>0</v>
      </c>
      <c r="I878" s="74">
        <f>I879</f>
        <v>0</v>
      </c>
      <c r="J878" s="101">
        <f t="shared" si="66"/>
        <v>0</v>
      </c>
      <c r="K878" s="74">
        <f>K879</f>
        <v>0</v>
      </c>
      <c r="L878" s="74">
        <f>L879</f>
        <v>0</v>
      </c>
    </row>
    <row r="879" spans="1:12" ht="27" customHeight="1" hidden="1">
      <c r="A879" s="22" t="s">
        <v>87</v>
      </c>
      <c r="B879" s="100" t="s">
        <v>425</v>
      </c>
      <c r="C879" s="100" t="s">
        <v>329</v>
      </c>
      <c r="D879" s="99" t="s">
        <v>147</v>
      </c>
      <c r="E879" s="100" t="s">
        <v>371</v>
      </c>
      <c r="F879" s="99" t="s">
        <v>689</v>
      </c>
      <c r="G879" s="100" t="s">
        <v>96</v>
      </c>
      <c r="H879" s="74">
        <f>'Пр. 9'!I1048</f>
        <v>0</v>
      </c>
      <c r="I879" s="74">
        <f>'Пр. 9'!J1048</f>
        <v>0</v>
      </c>
      <c r="J879" s="101">
        <f t="shared" si="66"/>
        <v>0</v>
      </c>
      <c r="K879" s="74">
        <f>'Пр. 9'!L1048</f>
        <v>0</v>
      </c>
      <c r="L879" s="74">
        <f>'Пр. 9'!M1048</f>
        <v>0</v>
      </c>
    </row>
    <row r="880" spans="1:12" ht="19.5" customHeight="1">
      <c r="A880" s="102" t="s">
        <v>429</v>
      </c>
      <c r="B880" s="100" t="s">
        <v>425</v>
      </c>
      <c r="C880" s="117">
        <v>9</v>
      </c>
      <c r="D880" s="100" t="s">
        <v>147</v>
      </c>
      <c r="E880" s="100" t="s">
        <v>430</v>
      </c>
      <c r="F880" s="117"/>
      <c r="G880" s="100"/>
      <c r="H880" s="74">
        <f>H883+H881</f>
        <v>22322.2</v>
      </c>
      <c r="I880" s="74">
        <f>I883+I881</f>
        <v>4140.699999999999</v>
      </c>
      <c r="J880" s="101">
        <f>I880-H880</f>
        <v>-18181.5</v>
      </c>
      <c r="K880" s="74">
        <f>K883+K881</f>
        <v>856.3999999999996</v>
      </c>
      <c r="L880" s="74">
        <f>L883+L881</f>
        <v>14342.8</v>
      </c>
    </row>
    <row r="881" spans="1:12" ht="33.75" customHeight="1">
      <c r="A881" s="102" t="s">
        <v>683</v>
      </c>
      <c r="B881" s="100" t="s">
        <v>425</v>
      </c>
      <c r="C881" s="117">
        <v>9</v>
      </c>
      <c r="D881" s="100" t="s">
        <v>147</v>
      </c>
      <c r="E881" s="100" t="s">
        <v>430</v>
      </c>
      <c r="F881" s="117">
        <v>200</v>
      </c>
      <c r="G881" s="100"/>
      <c r="H881" s="74">
        <f>H882</f>
        <v>0</v>
      </c>
      <c r="I881" s="74">
        <f>I882</f>
        <v>362.5</v>
      </c>
      <c r="J881" s="101">
        <f aca="true" t="shared" si="69" ref="J881:J945">I881-H881</f>
        <v>362.5</v>
      </c>
      <c r="K881" s="74">
        <f>K882</f>
        <v>0</v>
      </c>
      <c r="L881" s="74">
        <f>L882</f>
        <v>0</v>
      </c>
    </row>
    <row r="882" spans="1:12" ht="19.5" customHeight="1">
      <c r="A882" s="69" t="s">
        <v>73</v>
      </c>
      <c r="B882" s="100" t="s">
        <v>425</v>
      </c>
      <c r="C882" s="117">
        <v>9</v>
      </c>
      <c r="D882" s="100" t="s">
        <v>147</v>
      </c>
      <c r="E882" s="100" t="s">
        <v>430</v>
      </c>
      <c r="F882" s="117">
        <v>200</v>
      </c>
      <c r="G882" s="100" t="s">
        <v>74</v>
      </c>
      <c r="H882" s="74">
        <f>'Пр. 9'!I345</f>
        <v>0</v>
      </c>
      <c r="I882" s="74">
        <f>'Пр. 9'!J345</f>
        <v>362.5</v>
      </c>
      <c r="J882" s="101">
        <f t="shared" si="69"/>
        <v>362.5</v>
      </c>
      <c r="K882" s="74">
        <f>'Пр. 9'!L345</f>
        <v>0</v>
      </c>
      <c r="L882" s="74">
        <f>'Пр. 9'!M345</f>
        <v>0</v>
      </c>
    </row>
    <row r="883" spans="1:12" ht="15">
      <c r="A883" s="102" t="s">
        <v>684</v>
      </c>
      <c r="B883" s="100" t="s">
        <v>425</v>
      </c>
      <c r="C883" s="117">
        <v>9</v>
      </c>
      <c r="D883" s="100" t="s">
        <v>147</v>
      </c>
      <c r="E883" s="100" t="s">
        <v>430</v>
      </c>
      <c r="F883" s="117">
        <v>800</v>
      </c>
      <c r="G883" s="100"/>
      <c r="H883" s="74">
        <f>H884</f>
        <v>22322.2</v>
      </c>
      <c r="I883" s="74">
        <f>I884</f>
        <v>3778.1999999999994</v>
      </c>
      <c r="J883" s="101">
        <f t="shared" si="69"/>
        <v>-18544</v>
      </c>
      <c r="K883" s="74">
        <f>K884</f>
        <v>856.3999999999996</v>
      </c>
      <c r="L883" s="74">
        <f>L884</f>
        <v>14342.8</v>
      </c>
    </row>
    <row r="884" spans="1:12" ht="15">
      <c r="A884" s="102" t="s">
        <v>431</v>
      </c>
      <c r="B884" s="100" t="s">
        <v>425</v>
      </c>
      <c r="C884" s="117">
        <v>9</v>
      </c>
      <c r="D884" s="100" t="s">
        <v>147</v>
      </c>
      <c r="E884" s="100" t="s">
        <v>430</v>
      </c>
      <c r="F884" s="117">
        <v>800</v>
      </c>
      <c r="G884" s="100" t="s">
        <v>50</v>
      </c>
      <c r="H884" s="74">
        <f>'Пр. 9'!I620</f>
        <v>22322.2</v>
      </c>
      <c r="I884" s="74">
        <f>'Пр. 9'!J620</f>
        <v>3778.1999999999994</v>
      </c>
      <c r="J884" s="101">
        <f t="shared" si="69"/>
        <v>-18544</v>
      </c>
      <c r="K884" s="74">
        <f>'Пр. 9'!L620</f>
        <v>856.3999999999996</v>
      </c>
      <c r="L884" s="74">
        <f>'Пр. 9'!M620</f>
        <v>14342.8</v>
      </c>
    </row>
    <row r="885" spans="1:12" ht="30">
      <c r="A885" s="102" t="s">
        <v>432</v>
      </c>
      <c r="B885" s="100" t="s">
        <v>425</v>
      </c>
      <c r="C885" s="117">
        <v>9</v>
      </c>
      <c r="D885" s="100" t="s">
        <v>147</v>
      </c>
      <c r="E885" s="100" t="s">
        <v>433</v>
      </c>
      <c r="F885" s="117"/>
      <c r="G885" s="100"/>
      <c r="H885" s="74">
        <f>H886</f>
        <v>300</v>
      </c>
      <c r="I885" s="74">
        <f>I886</f>
        <v>300</v>
      </c>
      <c r="J885" s="101">
        <f t="shared" si="69"/>
        <v>0</v>
      </c>
      <c r="K885" s="74">
        <f>K886</f>
        <v>210.3</v>
      </c>
      <c r="L885" s="74">
        <f>L886</f>
        <v>227.8</v>
      </c>
    </row>
    <row r="886" spans="1:12" ht="30">
      <c r="A886" s="102" t="s">
        <v>683</v>
      </c>
      <c r="B886" s="100" t="s">
        <v>425</v>
      </c>
      <c r="C886" s="117">
        <v>9</v>
      </c>
      <c r="D886" s="100" t="s">
        <v>147</v>
      </c>
      <c r="E886" s="100" t="s">
        <v>433</v>
      </c>
      <c r="F886" s="117">
        <v>200</v>
      </c>
      <c r="G886" s="100"/>
      <c r="H886" s="74">
        <f>H887</f>
        <v>300</v>
      </c>
      <c r="I886" s="74">
        <f>I887</f>
        <v>300</v>
      </c>
      <c r="J886" s="101">
        <f t="shared" si="69"/>
        <v>0</v>
      </c>
      <c r="K886" s="74">
        <f>K887</f>
        <v>210.3</v>
      </c>
      <c r="L886" s="74">
        <f>L887</f>
        <v>227.8</v>
      </c>
    </row>
    <row r="887" spans="1:12" ht="15">
      <c r="A887" s="102" t="s">
        <v>51</v>
      </c>
      <c r="B887" s="100" t="s">
        <v>425</v>
      </c>
      <c r="C887" s="117">
        <v>9</v>
      </c>
      <c r="D887" s="100" t="s">
        <v>147</v>
      </c>
      <c r="E887" s="100" t="s">
        <v>433</v>
      </c>
      <c r="F887" s="117">
        <v>200</v>
      </c>
      <c r="G887" s="100" t="s">
        <v>52</v>
      </c>
      <c r="H887" s="74">
        <f>'Пр. 9'!I737</f>
        <v>300</v>
      </c>
      <c r="I887" s="74">
        <f>'Пр. 9'!J737</f>
        <v>300</v>
      </c>
      <c r="J887" s="101">
        <f t="shared" si="69"/>
        <v>0</v>
      </c>
      <c r="K887" s="74">
        <f>'Пр. 9'!L737</f>
        <v>210.3</v>
      </c>
      <c r="L887" s="74">
        <f>'Пр. 9'!M737</f>
        <v>227.8</v>
      </c>
    </row>
    <row r="888" spans="1:12" ht="15" hidden="1">
      <c r="A888" s="102" t="s">
        <v>434</v>
      </c>
      <c r="B888" s="100" t="s">
        <v>425</v>
      </c>
      <c r="C888" s="117">
        <v>9</v>
      </c>
      <c r="D888" s="100" t="s">
        <v>147</v>
      </c>
      <c r="E888" s="100" t="s">
        <v>435</v>
      </c>
      <c r="F888" s="117"/>
      <c r="G888" s="100"/>
      <c r="H888" s="74">
        <f>H889+H891</f>
        <v>0</v>
      </c>
      <c r="I888" s="74">
        <f>I889+I891</f>
        <v>0</v>
      </c>
      <c r="J888" s="96">
        <f t="shared" si="69"/>
        <v>0</v>
      </c>
      <c r="K888" s="74">
        <f>K889+K891</f>
        <v>0</v>
      </c>
      <c r="L888" s="74">
        <f>L889+L891</f>
        <v>0</v>
      </c>
    </row>
    <row r="889" spans="1:12" ht="30" hidden="1">
      <c r="A889" s="102" t="s">
        <v>683</v>
      </c>
      <c r="B889" s="100" t="s">
        <v>425</v>
      </c>
      <c r="C889" s="117">
        <v>9</v>
      </c>
      <c r="D889" s="100" t="s">
        <v>147</v>
      </c>
      <c r="E889" s="100" t="s">
        <v>435</v>
      </c>
      <c r="F889" s="117">
        <v>200</v>
      </c>
      <c r="G889" s="100"/>
      <c r="H889" s="74">
        <f>H890</f>
        <v>0</v>
      </c>
      <c r="I889" s="74">
        <f>I890</f>
        <v>0</v>
      </c>
      <c r="J889" s="96">
        <f t="shared" si="69"/>
        <v>0</v>
      </c>
      <c r="K889" s="74">
        <f>K890</f>
        <v>0</v>
      </c>
      <c r="L889" s="74">
        <f>L890</f>
        <v>0</v>
      </c>
    </row>
    <row r="890" spans="1:12" ht="15" hidden="1">
      <c r="A890" s="102" t="s">
        <v>51</v>
      </c>
      <c r="B890" s="100" t="s">
        <v>425</v>
      </c>
      <c r="C890" s="117">
        <v>9</v>
      </c>
      <c r="D890" s="100" t="s">
        <v>147</v>
      </c>
      <c r="E890" s="100" t="s">
        <v>435</v>
      </c>
      <c r="F890" s="117">
        <v>200</v>
      </c>
      <c r="G890" s="100" t="s">
        <v>52</v>
      </c>
      <c r="H890" s="74"/>
      <c r="I890" s="74"/>
      <c r="J890" s="96">
        <f t="shared" si="69"/>
        <v>0</v>
      </c>
      <c r="K890" s="74">
        <f>'Пр. 9'!L739</f>
        <v>0</v>
      </c>
      <c r="L890" s="74">
        <f>'Пр. 9'!M739</f>
        <v>0</v>
      </c>
    </row>
    <row r="891" spans="1:12" ht="15" hidden="1">
      <c r="A891" s="102" t="s">
        <v>684</v>
      </c>
      <c r="B891" s="100" t="s">
        <v>425</v>
      </c>
      <c r="C891" s="117">
        <v>9</v>
      </c>
      <c r="D891" s="100" t="s">
        <v>147</v>
      </c>
      <c r="E891" s="100" t="s">
        <v>435</v>
      </c>
      <c r="F891" s="117">
        <v>800</v>
      </c>
      <c r="G891" s="100"/>
      <c r="H891" s="74">
        <f>H892</f>
        <v>0</v>
      </c>
      <c r="I891" s="74">
        <f>I892</f>
        <v>0</v>
      </c>
      <c r="J891" s="96">
        <f t="shared" si="69"/>
        <v>0</v>
      </c>
      <c r="K891" s="74">
        <f>K892</f>
        <v>0</v>
      </c>
      <c r="L891" s="74">
        <f>L892</f>
        <v>0</v>
      </c>
    </row>
    <row r="892" spans="1:12" ht="15" hidden="1">
      <c r="A892" s="102" t="s">
        <v>51</v>
      </c>
      <c r="B892" s="100" t="s">
        <v>425</v>
      </c>
      <c r="C892" s="117">
        <v>9</v>
      </c>
      <c r="D892" s="100" t="s">
        <v>147</v>
      </c>
      <c r="E892" s="100" t="s">
        <v>435</v>
      </c>
      <c r="F892" s="117">
        <v>800</v>
      </c>
      <c r="G892" s="100" t="s">
        <v>52</v>
      </c>
      <c r="H892" s="74">
        <f>'Пр. 9'!I740</f>
        <v>0</v>
      </c>
      <c r="I892" s="74">
        <f>'Пр. 9'!J740</f>
        <v>0</v>
      </c>
      <c r="J892" s="96">
        <f t="shared" si="69"/>
        <v>0</v>
      </c>
      <c r="K892" s="74">
        <f>'Пр. 9'!L740</f>
        <v>0</v>
      </c>
      <c r="L892" s="74">
        <f>'Пр. 9'!M740</f>
        <v>0</v>
      </c>
    </row>
    <row r="893" spans="1:12" ht="15">
      <c r="A893" s="102" t="s">
        <v>436</v>
      </c>
      <c r="B893" s="100" t="s">
        <v>425</v>
      </c>
      <c r="C893" s="117">
        <v>9</v>
      </c>
      <c r="D893" s="100" t="s">
        <v>147</v>
      </c>
      <c r="E893" s="100" t="s">
        <v>437</v>
      </c>
      <c r="F893" s="117"/>
      <c r="G893" s="100"/>
      <c r="H893" s="74">
        <f>H894</f>
        <v>230</v>
      </c>
      <c r="I893" s="74">
        <f>I894</f>
        <v>230</v>
      </c>
      <c r="J893" s="101">
        <f t="shared" si="69"/>
        <v>0</v>
      </c>
      <c r="K893" s="74">
        <f>K894</f>
        <v>230</v>
      </c>
      <c r="L893" s="74">
        <f>L894</f>
        <v>230</v>
      </c>
    </row>
    <row r="894" spans="1:12" ht="15">
      <c r="A894" s="102" t="s">
        <v>684</v>
      </c>
      <c r="B894" s="100" t="s">
        <v>425</v>
      </c>
      <c r="C894" s="117">
        <v>9</v>
      </c>
      <c r="D894" s="100" t="s">
        <v>147</v>
      </c>
      <c r="E894" s="100" t="s">
        <v>437</v>
      </c>
      <c r="F894" s="117">
        <v>800</v>
      </c>
      <c r="G894" s="100"/>
      <c r="H894" s="74">
        <f>H895</f>
        <v>230</v>
      </c>
      <c r="I894" s="74">
        <f>I895</f>
        <v>230</v>
      </c>
      <c r="J894" s="101">
        <f t="shared" si="69"/>
        <v>0</v>
      </c>
      <c r="K894" s="74">
        <f>K895</f>
        <v>230</v>
      </c>
      <c r="L894" s="74">
        <f>L895</f>
        <v>230</v>
      </c>
    </row>
    <row r="895" spans="1:12" ht="15">
      <c r="A895" s="102" t="s">
        <v>51</v>
      </c>
      <c r="B895" s="100" t="s">
        <v>425</v>
      </c>
      <c r="C895" s="117">
        <v>9</v>
      </c>
      <c r="D895" s="100" t="s">
        <v>147</v>
      </c>
      <c r="E895" s="100" t="s">
        <v>437</v>
      </c>
      <c r="F895" s="117">
        <v>800</v>
      </c>
      <c r="G895" s="100" t="s">
        <v>52</v>
      </c>
      <c r="H895" s="74">
        <f>'Пр. 9'!I801</f>
        <v>230</v>
      </c>
      <c r="I895" s="74">
        <f>'Пр. 9'!J801</f>
        <v>230</v>
      </c>
      <c r="J895" s="101">
        <f t="shared" si="69"/>
        <v>0</v>
      </c>
      <c r="K895" s="74">
        <f>'Пр. 9'!L801</f>
        <v>230</v>
      </c>
      <c r="L895" s="74">
        <f>'Пр. 9'!M801</f>
        <v>230</v>
      </c>
    </row>
    <row r="896" spans="1:12" ht="15">
      <c r="A896" s="102" t="s">
        <v>438</v>
      </c>
      <c r="B896" s="100" t="s">
        <v>425</v>
      </c>
      <c r="C896" s="117">
        <v>9</v>
      </c>
      <c r="D896" s="100" t="s">
        <v>147</v>
      </c>
      <c r="E896" s="100" t="s">
        <v>439</v>
      </c>
      <c r="F896" s="117"/>
      <c r="G896" s="100"/>
      <c r="H896" s="74">
        <f>H897+H899+H901</f>
        <v>1475</v>
      </c>
      <c r="I896" s="74">
        <f>I897+I899+I901</f>
        <v>1475</v>
      </c>
      <c r="J896" s="101">
        <f t="shared" si="69"/>
        <v>0</v>
      </c>
      <c r="K896" s="74">
        <f>K897+K899+K901</f>
        <v>1495</v>
      </c>
      <c r="L896" s="74">
        <f>L897+L899+L901</f>
        <v>1515</v>
      </c>
    </row>
    <row r="897" spans="1:12" ht="30">
      <c r="A897" s="102" t="s">
        <v>683</v>
      </c>
      <c r="B897" s="100" t="s">
        <v>425</v>
      </c>
      <c r="C897" s="117">
        <v>9</v>
      </c>
      <c r="D897" s="100" t="s">
        <v>147</v>
      </c>
      <c r="E897" s="100" t="s">
        <v>439</v>
      </c>
      <c r="F897" s="117">
        <v>200</v>
      </c>
      <c r="G897" s="100"/>
      <c r="H897" s="74">
        <f>H898</f>
        <v>1385</v>
      </c>
      <c r="I897" s="74">
        <f>I898</f>
        <v>1385</v>
      </c>
      <c r="J897" s="101">
        <f t="shared" si="69"/>
        <v>0</v>
      </c>
      <c r="K897" s="74">
        <f>K898</f>
        <v>1405</v>
      </c>
      <c r="L897" s="74">
        <f>L898</f>
        <v>1425</v>
      </c>
    </row>
    <row r="898" spans="1:12" ht="15">
      <c r="A898" s="102" t="s">
        <v>51</v>
      </c>
      <c r="B898" s="100" t="s">
        <v>425</v>
      </c>
      <c r="C898" s="117">
        <v>9</v>
      </c>
      <c r="D898" s="100" t="s">
        <v>147</v>
      </c>
      <c r="E898" s="100" t="s">
        <v>439</v>
      </c>
      <c r="F898" s="117">
        <v>200</v>
      </c>
      <c r="G898" s="100" t="s">
        <v>52</v>
      </c>
      <c r="H898" s="74">
        <f>'Пр. 9'!I124</f>
        <v>1385</v>
      </c>
      <c r="I898" s="74">
        <f>'Пр. 9'!J124</f>
        <v>1385</v>
      </c>
      <c r="J898" s="101">
        <f t="shared" si="69"/>
        <v>0</v>
      </c>
      <c r="K898" s="74">
        <f>'Пр. 9'!L124</f>
        <v>1405</v>
      </c>
      <c r="L898" s="74">
        <f>'Пр. 9'!M124</f>
        <v>1425</v>
      </c>
    </row>
    <row r="899" spans="1:12" ht="15">
      <c r="A899" s="102" t="s">
        <v>687</v>
      </c>
      <c r="B899" s="100" t="s">
        <v>425</v>
      </c>
      <c r="C899" s="117">
        <v>9</v>
      </c>
      <c r="D899" s="100" t="s">
        <v>147</v>
      </c>
      <c r="E899" s="100" t="s">
        <v>439</v>
      </c>
      <c r="F899" s="117">
        <v>300</v>
      </c>
      <c r="G899" s="100"/>
      <c r="H899" s="74">
        <f>H900</f>
        <v>90</v>
      </c>
      <c r="I899" s="74">
        <f>I900</f>
        <v>90</v>
      </c>
      <c r="J899" s="101">
        <f t="shared" si="69"/>
        <v>0</v>
      </c>
      <c r="K899" s="74">
        <f>K900</f>
        <v>90</v>
      </c>
      <c r="L899" s="74">
        <f>L900</f>
        <v>90</v>
      </c>
    </row>
    <row r="900" spans="1:12" s="3" customFormat="1" ht="15">
      <c r="A900" s="123" t="s">
        <v>51</v>
      </c>
      <c r="B900" s="100" t="s">
        <v>425</v>
      </c>
      <c r="C900" s="117">
        <v>9</v>
      </c>
      <c r="D900" s="100" t="s">
        <v>147</v>
      </c>
      <c r="E900" s="100" t="s">
        <v>439</v>
      </c>
      <c r="F900" s="117">
        <v>300</v>
      </c>
      <c r="G900" s="100" t="s">
        <v>52</v>
      </c>
      <c r="H900" s="119">
        <f>'Пр. 9'!I125</f>
        <v>90</v>
      </c>
      <c r="I900" s="119">
        <f>'Пр. 9'!J125</f>
        <v>90</v>
      </c>
      <c r="J900" s="101">
        <f t="shared" si="69"/>
        <v>0</v>
      </c>
      <c r="K900" s="119">
        <f>'Пр. 9'!L125</f>
        <v>90</v>
      </c>
      <c r="L900" s="119">
        <f>'Пр. 9'!M125</f>
        <v>90</v>
      </c>
    </row>
    <row r="901" spans="1:12" ht="15" hidden="1">
      <c r="A901" s="102" t="s">
        <v>684</v>
      </c>
      <c r="B901" s="100" t="s">
        <v>425</v>
      </c>
      <c r="C901" s="117">
        <v>9</v>
      </c>
      <c r="D901" s="100" t="s">
        <v>147</v>
      </c>
      <c r="E901" s="100" t="s">
        <v>439</v>
      </c>
      <c r="F901" s="117">
        <v>800</v>
      </c>
      <c r="G901" s="100"/>
      <c r="H901" s="74">
        <f>H902</f>
        <v>0</v>
      </c>
      <c r="I901" s="74">
        <f>I902</f>
        <v>0</v>
      </c>
      <c r="J901" s="101">
        <f t="shared" si="69"/>
        <v>0</v>
      </c>
      <c r="K901" s="74">
        <f>K902</f>
        <v>0</v>
      </c>
      <c r="L901" s="74">
        <f>L902</f>
        <v>0</v>
      </c>
    </row>
    <row r="902" spans="1:12" ht="15" hidden="1">
      <c r="A902" s="102" t="s">
        <v>51</v>
      </c>
      <c r="B902" s="100" t="s">
        <v>425</v>
      </c>
      <c r="C902" s="117">
        <v>9</v>
      </c>
      <c r="D902" s="100" t="s">
        <v>147</v>
      </c>
      <c r="E902" s="100" t="s">
        <v>439</v>
      </c>
      <c r="F902" s="117">
        <v>800</v>
      </c>
      <c r="G902" s="100" t="s">
        <v>52</v>
      </c>
      <c r="H902" s="74">
        <f>'Пр. 9'!I126</f>
        <v>0</v>
      </c>
      <c r="I902" s="74">
        <f>'Пр. 9'!J126</f>
        <v>0</v>
      </c>
      <c r="J902" s="101">
        <f t="shared" si="69"/>
        <v>0</v>
      </c>
      <c r="K902" s="74">
        <f>'Пр. 9'!L126</f>
        <v>0</v>
      </c>
      <c r="L902" s="74">
        <f>'Пр. 9'!M126</f>
        <v>0</v>
      </c>
    </row>
    <row r="903" spans="1:12" ht="15" hidden="1">
      <c r="A903" s="102" t="s">
        <v>925</v>
      </c>
      <c r="B903" s="100" t="s">
        <v>425</v>
      </c>
      <c r="C903" s="100" t="s">
        <v>329</v>
      </c>
      <c r="D903" s="100" t="s">
        <v>147</v>
      </c>
      <c r="E903" s="100" t="s">
        <v>238</v>
      </c>
      <c r="F903" s="99"/>
      <c r="G903" s="100"/>
      <c r="H903" s="74">
        <f>H904</f>
        <v>0</v>
      </c>
      <c r="I903" s="74">
        <f>I904</f>
        <v>0</v>
      </c>
      <c r="J903" s="101">
        <f t="shared" si="69"/>
        <v>0</v>
      </c>
      <c r="K903" s="74">
        <f>K904</f>
        <v>0</v>
      </c>
      <c r="L903" s="74">
        <f>L904</f>
        <v>0</v>
      </c>
    </row>
    <row r="904" spans="1:12" ht="30" hidden="1">
      <c r="A904" s="109" t="s">
        <v>688</v>
      </c>
      <c r="B904" s="100" t="s">
        <v>425</v>
      </c>
      <c r="C904" s="100" t="s">
        <v>329</v>
      </c>
      <c r="D904" s="100" t="s">
        <v>147</v>
      </c>
      <c r="E904" s="100" t="s">
        <v>238</v>
      </c>
      <c r="F904" s="99" t="s">
        <v>689</v>
      </c>
      <c r="G904" s="100"/>
      <c r="H904" s="74">
        <f>H905+H906</f>
        <v>0</v>
      </c>
      <c r="I904" s="74">
        <f>I905+I906</f>
        <v>0</v>
      </c>
      <c r="J904" s="101">
        <f t="shared" si="69"/>
        <v>0</v>
      </c>
      <c r="K904" s="74">
        <f>K905+K906</f>
        <v>0</v>
      </c>
      <c r="L904" s="74">
        <f>L905+L906</f>
        <v>0</v>
      </c>
    </row>
    <row r="905" spans="1:12" ht="15.75" hidden="1">
      <c r="A905" s="291" t="s">
        <v>85</v>
      </c>
      <c r="B905" s="100" t="s">
        <v>425</v>
      </c>
      <c r="C905" s="100" t="s">
        <v>329</v>
      </c>
      <c r="D905" s="100" t="s">
        <v>147</v>
      </c>
      <c r="E905" s="100" t="s">
        <v>238</v>
      </c>
      <c r="F905" s="99" t="s">
        <v>689</v>
      </c>
      <c r="G905" s="100" t="s">
        <v>86</v>
      </c>
      <c r="H905" s="74">
        <f>'Пр. 9'!I889</f>
        <v>0</v>
      </c>
      <c r="I905" s="74">
        <f>'Пр. 9'!J889</f>
        <v>0</v>
      </c>
      <c r="J905" s="101">
        <f t="shared" si="69"/>
        <v>0</v>
      </c>
      <c r="K905" s="74">
        <f>'Пр. 9'!L889</f>
        <v>0</v>
      </c>
      <c r="L905" s="74">
        <f>'Пр. 9'!M889</f>
        <v>0</v>
      </c>
    </row>
    <row r="906" spans="1:12" ht="15" hidden="1">
      <c r="A906" s="22" t="s">
        <v>87</v>
      </c>
      <c r="B906" s="100" t="s">
        <v>425</v>
      </c>
      <c r="C906" s="100" t="s">
        <v>329</v>
      </c>
      <c r="D906" s="100" t="s">
        <v>147</v>
      </c>
      <c r="E906" s="100" t="s">
        <v>238</v>
      </c>
      <c r="F906" s="99" t="s">
        <v>689</v>
      </c>
      <c r="G906" s="100" t="s">
        <v>88</v>
      </c>
      <c r="H906" s="74">
        <f>'Пр. 9'!I959</f>
        <v>0</v>
      </c>
      <c r="I906" s="74">
        <f>'Пр. 9'!J959</f>
        <v>0</v>
      </c>
      <c r="J906" s="101">
        <f t="shared" si="69"/>
        <v>0</v>
      </c>
      <c r="K906" s="74">
        <f>'Пр. 9'!L959</f>
        <v>0</v>
      </c>
      <c r="L906" s="74">
        <f>'Пр. 9'!M959</f>
        <v>0</v>
      </c>
    </row>
    <row r="907" spans="1:12" ht="45" hidden="1">
      <c r="A907" s="102" t="s">
        <v>333</v>
      </c>
      <c r="B907" s="100" t="s">
        <v>425</v>
      </c>
      <c r="C907" s="117">
        <v>9</v>
      </c>
      <c r="D907" s="100" t="s">
        <v>147</v>
      </c>
      <c r="E907" s="100" t="s">
        <v>334</v>
      </c>
      <c r="F907" s="117"/>
      <c r="G907" s="100"/>
      <c r="H907" s="74">
        <f>H908</f>
        <v>0</v>
      </c>
      <c r="I907" s="74">
        <f>I908</f>
        <v>0</v>
      </c>
      <c r="J907" s="101">
        <f t="shared" si="69"/>
        <v>0</v>
      </c>
      <c r="K907" s="74">
        <f>K908</f>
        <v>0</v>
      </c>
      <c r="L907" s="74">
        <f>L908</f>
        <v>0</v>
      </c>
    </row>
    <row r="908" spans="1:12" ht="30" hidden="1">
      <c r="A908" s="102" t="s">
        <v>688</v>
      </c>
      <c r="B908" s="100" t="s">
        <v>425</v>
      </c>
      <c r="C908" s="117">
        <v>9</v>
      </c>
      <c r="D908" s="100" t="s">
        <v>147</v>
      </c>
      <c r="E908" s="100" t="s">
        <v>334</v>
      </c>
      <c r="F908" s="117">
        <v>600</v>
      </c>
      <c r="G908" s="100"/>
      <c r="H908" s="74">
        <f>H909</f>
        <v>0</v>
      </c>
      <c r="I908" s="74">
        <f>I909</f>
        <v>0</v>
      </c>
      <c r="J908" s="101">
        <f t="shared" si="69"/>
        <v>0</v>
      </c>
      <c r="K908" s="74">
        <f>K909</f>
        <v>0</v>
      </c>
      <c r="L908" s="74">
        <f>L909</f>
        <v>0</v>
      </c>
    </row>
    <row r="909" spans="1:12" ht="15" hidden="1">
      <c r="A909" s="22" t="s">
        <v>87</v>
      </c>
      <c r="B909" s="100" t="s">
        <v>425</v>
      </c>
      <c r="C909" s="117">
        <v>9</v>
      </c>
      <c r="D909" s="100" t="s">
        <v>147</v>
      </c>
      <c r="E909" s="100" t="s">
        <v>334</v>
      </c>
      <c r="F909" s="117">
        <v>600</v>
      </c>
      <c r="G909" s="100" t="s">
        <v>88</v>
      </c>
      <c r="H909" s="74">
        <f>'Пр. 9'!I961</f>
        <v>0</v>
      </c>
      <c r="I909" s="74">
        <f>'Пр. 9'!J961</f>
        <v>0</v>
      </c>
      <c r="J909" s="101">
        <f t="shared" si="69"/>
        <v>0</v>
      </c>
      <c r="K909" s="74">
        <f>'Пр. 9'!L961</f>
        <v>0</v>
      </c>
      <c r="L909" s="74">
        <f>'Пр. 9'!M961</f>
        <v>0</v>
      </c>
    </row>
    <row r="910" spans="1:12" ht="60">
      <c r="A910" s="22" t="s">
        <v>440</v>
      </c>
      <c r="B910" s="100" t="s">
        <v>425</v>
      </c>
      <c r="C910" s="117">
        <v>9</v>
      </c>
      <c r="D910" s="100" t="s">
        <v>147</v>
      </c>
      <c r="E910" s="100" t="s">
        <v>441</v>
      </c>
      <c r="F910" s="117"/>
      <c r="G910" s="100"/>
      <c r="H910" s="74">
        <f>H911</f>
        <v>500</v>
      </c>
      <c r="I910" s="74">
        <f>I911</f>
        <v>500</v>
      </c>
      <c r="J910" s="101">
        <f t="shared" si="69"/>
        <v>0</v>
      </c>
      <c r="K910" s="74">
        <f>K911</f>
        <v>0</v>
      </c>
      <c r="L910" s="74">
        <f>L911</f>
        <v>0</v>
      </c>
    </row>
    <row r="911" spans="1:12" ht="30">
      <c r="A911" s="22" t="s">
        <v>683</v>
      </c>
      <c r="B911" s="100" t="s">
        <v>425</v>
      </c>
      <c r="C911" s="117">
        <v>9</v>
      </c>
      <c r="D911" s="100" t="s">
        <v>147</v>
      </c>
      <c r="E911" s="100" t="s">
        <v>441</v>
      </c>
      <c r="F911" s="117">
        <v>200</v>
      </c>
      <c r="G911" s="100"/>
      <c r="H911" s="74">
        <f>H912</f>
        <v>500</v>
      </c>
      <c r="I911" s="74">
        <f>I912</f>
        <v>500</v>
      </c>
      <c r="J911" s="101">
        <f t="shared" si="69"/>
        <v>0</v>
      </c>
      <c r="K911" s="74">
        <f>K912</f>
        <v>0</v>
      </c>
      <c r="L911" s="74">
        <f>L912</f>
        <v>0</v>
      </c>
    </row>
    <row r="912" spans="1:12" ht="15">
      <c r="A912" s="22" t="s">
        <v>75</v>
      </c>
      <c r="B912" s="100" t="s">
        <v>425</v>
      </c>
      <c r="C912" s="117">
        <v>9</v>
      </c>
      <c r="D912" s="100" t="s">
        <v>147</v>
      </c>
      <c r="E912" s="100" t="s">
        <v>441</v>
      </c>
      <c r="F912" s="117">
        <v>200</v>
      </c>
      <c r="G912" s="100" t="s">
        <v>76</v>
      </c>
      <c r="H912" s="74">
        <f>'Пр. 9'!I360</f>
        <v>500</v>
      </c>
      <c r="I912" s="74">
        <f>'Пр. 9'!J360</f>
        <v>500</v>
      </c>
      <c r="J912" s="101">
        <f t="shared" si="69"/>
        <v>0</v>
      </c>
      <c r="K912" s="74">
        <f>'Пр. 9'!L360</f>
        <v>0</v>
      </c>
      <c r="L912" s="74">
        <f>'Пр. 9'!M360</f>
        <v>0</v>
      </c>
    </row>
    <row r="913" spans="1:12" ht="30">
      <c r="A913" s="102" t="s">
        <v>442</v>
      </c>
      <c r="B913" s="100" t="s">
        <v>425</v>
      </c>
      <c r="C913" s="117">
        <v>9</v>
      </c>
      <c r="D913" s="100" t="s">
        <v>147</v>
      </c>
      <c r="E913" s="100" t="s">
        <v>443</v>
      </c>
      <c r="F913" s="117"/>
      <c r="G913" s="100"/>
      <c r="H913" s="74">
        <f>H914+H916</f>
        <v>0</v>
      </c>
      <c r="I913" s="74">
        <f>I914+I916</f>
        <v>0</v>
      </c>
      <c r="J913" s="101">
        <f t="shared" si="69"/>
        <v>0</v>
      </c>
      <c r="K913" s="74">
        <f>K914+K916</f>
        <v>112</v>
      </c>
      <c r="L913" s="74">
        <f>L914+L916</f>
        <v>116</v>
      </c>
    </row>
    <row r="914" spans="1:12" ht="30">
      <c r="A914" s="102" t="s">
        <v>683</v>
      </c>
      <c r="B914" s="100" t="s">
        <v>425</v>
      </c>
      <c r="C914" s="117">
        <v>9</v>
      </c>
      <c r="D914" s="100" t="s">
        <v>147</v>
      </c>
      <c r="E914" s="100" t="s">
        <v>443</v>
      </c>
      <c r="F914" s="117">
        <v>200</v>
      </c>
      <c r="G914" s="100"/>
      <c r="H914" s="74">
        <f>H915</f>
        <v>0</v>
      </c>
      <c r="I914" s="74">
        <f>I915</f>
        <v>0</v>
      </c>
      <c r="J914" s="101">
        <f t="shared" si="69"/>
        <v>0</v>
      </c>
      <c r="K914" s="74">
        <f>K915</f>
        <v>112</v>
      </c>
      <c r="L914" s="74">
        <f>L915</f>
        <v>116</v>
      </c>
    </row>
    <row r="915" spans="1:12" ht="15">
      <c r="A915" s="22" t="s">
        <v>51</v>
      </c>
      <c r="B915" s="100" t="s">
        <v>425</v>
      </c>
      <c r="C915" s="117">
        <v>9</v>
      </c>
      <c r="D915" s="100" t="s">
        <v>147</v>
      </c>
      <c r="E915" s="100" t="s">
        <v>443</v>
      </c>
      <c r="F915" s="117">
        <v>200</v>
      </c>
      <c r="G915" s="100" t="s">
        <v>52</v>
      </c>
      <c r="H915" s="74">
        <f>'Пр. 9'!I803</f>
        <v>0</v>
      </c>
      <c r="I915" s="74">
        <f>'Пр. 9'!J803</f>
        <v>0</v>
      </c>
      <c r="J915" s="101">
        <f t="shared" si="69"/>
        <v>0</v>
      </c>
      <c r="K915" s="74">
        <f>'Пр. 9'!L803</f>
        <v>112</v>
      </c>
      <c r="L915" s="74">
        <f>'Пр. 9'!M803</f>
        <v>116</v>
      </c>
    </row>
    <row r="916" spans="1:12" ht="15" hidden="1">
      <c r="A916" s="102" t="s">
        <v>687</v>
      </c>
      <c r="B916" s="100" t="s">
        <v>425</v>
      </c>
      <c r="C916" s="117">
        <v>9</v>
      </c>
      <c r="D916" s="100" t="s">
        <v>147</v>
      </c>
      <c r="E916" s="100" t="s">
        <v>443</v>
      </c>
      <c r="F916" s="117">
        <v>300</v>
      </c>
      <c r="G916" s="100"/>
      <c r="H916" s="74">
        <f>H917</f>
        <v>0</v>
      </c>
      <c r="I916" s="74">
        <f>I917</f>
        <v>0</v>
      </c>
      <c r="J916" s="101">
        <f t="shared" si="69"/>
        <v>0</v>
      </c>
      <c r="K916" s="74">
        <f>K917</f>
        <v>0</v>
      </c>
      <c r="L916" s="74">
        <f>L917</f>
        <v>0</v>
      </c>
    </row>
    <row r="917" spans="1:12" ht="15" hidden="1">
      <c r="A917" s="22" t="s">
        <v>51</v>
      </c>
      <c r="B917" s="100" t="s">
        <v>425</v>
      </c>
      <c r="C917" s="117">
        <v>9</v>
      </c>
      <c r="D917" s="100" t="s">
        <v>147</v>
      </c>
      <c r="E917" s="100" t="s">
        <v>443</v>
      </c>
      <c r="F917" s="117">
        <v>300</v>
      </c>
      <c r="G917" s="100" t="s">
        <v>52</v>
      </c>
      <c r="H917" s="74">
        <f>'Пр. 9'!I804</f>
        <v>0</v>
      </c>
      <c r="I917" s="74">
        <f>'Пр. 9'!J804</f>
        <v>0</v>
      </c>
      <c r="J917" s="101">
        <f t="shared" si="69"/>
        <v>0</v>
      </c>
      <c r="K917" s="74">
        <f>'Пр. 9'!L804</f>
        <v>0</v>
      </c>
      <c r="L917" s="74">
        <f>'Пр. 9'!M804</f>
        <v>0</v>
      </c>
    </row>
    <row r="918" spans="1:12" ht="15" hidden="1">
      <c r="A918" s="102" t="s">
        <v>444</v>
      </c>
      <c r="B918" s="100" t="s">
        <v>425</v>
      </c>
      <c r="C918" s="117">
        <v>9</v>
      </c>
      <c r="D918" s="100" t="s">
        <v>147</v>
      </c>
      <c r="E918" s="100" t="s">
        <v>445</v>
      </c>
      <c r="F918" s="117"/>
      <c r="G918" s="100"/>
      <c r="H918" s="74">
        <f>H919</f>
        <v>0</v>
      </c>
      <c r="I918" s="74">
        <f>I919</f>
        <v>0</v>
      </c>
      <c r="J918" s="101">
        <f t="shared" si="69"/>
        <v>0</v>
      </c>
      <c r="K918" s="74">
        <f>K919</f>
        <v>0</v>
      </c>
      <c r="L918" s="74">
        <f>L919</f>
        <v>0</v>
      </c>
    </row>
    <row r="919" spans="1:12" ht="30" hidden="1">
      <c r="A919" s="102" t="s">
        <v>683</v>
      </c>
      <c r="B919" s="100" t="s">
        <v>425</v>
      </c>
      <c r="C919" s="117">
        <v>9</v>
      </c>
      <c r="D919" s="100" t="s">
        <v>147</v>
      </c>
      <c r="E919" s="100" t="s">
        <v>445</v>
      </c>
      <c r="F919" s="117">
        <v>200</v>
      </c>
      <c r="G919" s="100"/>
      <c r="H919" s="74">
        <f>H920</f>
        <v>0</v>
      </c>
      <c r="I919" s="74">
        <f>I920</f>
        <v>0</v>
      </c>
      <c r="J919" s="101">
        <f t="shared" si="69"/>
        <v>0</v>
      </c>
      <c r="K919" s="74">
        <f>K920</f>
        <v>0</v>
      </c>
      <c r="L919" s="74">
        <f>L920</f>
        <v>0</v>
      </c>
    </row>
    <row r="920" spans="1:12" ht="30" hidden="1">
      <c r="A920" s="22" t="s">
        <v>55</v>
      </c>
      <c r="B920" s="100" t="s">
        <v>425</v>
      </c>
      <c r="C920" s="117">
        <v>9</v>
      </c>
      <c r="D920" s="100" t="s">
        <v>147</v>
      </c>
      <c r="E920" s="100" t="s">
        <v>445</v>
      </c>
      <c r="F920" s="117">
        <v>200</v>
      </c>
      <c r="G920" s="100" t="s">
        <v>56</v>
      </c>
      <c r="H920" s="74">
        <f>'Пр. 9'!I173</f>
        <v>0</v>
      </c>
      <c r="I920" s="74">
        <f>'Пр. 9'!J173</f>
        <v>0</v>
      </c>
      <c r="J920" s="101">
        <f t="shared" si="69"/>
        <v>0</v>
      </c>
      <c r="K920" s="74">
        <f>'Пр. 9'!L173</f>
        <v>0</v>
      </c>
      <c r="L920" s="74">
        <f>'Пр. 9'!M173</f>
        <v>0</v>
      </c>
    </row>
    <row r="921" spans="1:12" ht="15">
      <c r="A921" s="102" t="s">
        <v>446</v>
      </c>
      <c r="B921" s="100" t="s">
        <v>425</v>
      </c>
      <c r="C921" s="117">
        <v>9</v>
      </c>
      <c r="D921" s="100" t="s">
        <v>147</v>
      </c>
      <c r="E921" s="100" t="s">
        <v>447</v>
      </c>
      <c r="F921" s="117"/>
      <c r="G921" s="100"/>
      <c r="H921" s="74">
        <f>H922</f>
        <v>89.9</v>
      </c>
      <c r="I921" s="74">
        <f>I922</f>
        <v>89.9</v>
      </c>
      <c r="J921" s="101">
        <f t="shared" si="69"/>
        <v>0</v>
      </c>
      <c r="K921" s="74">
        <f>K922</f>
        <v>45.9</v>
      </c>
      <c r="L921" s="74">
        <f>L922</f>
        <v>45.9</v>
      </c>
    </row>
    <row r="922" spans="1:12" ht="15">
      <c r="A922" s="102" t="s">
        <v>684</v>
      </c>
      <c r="B922" s="100" t="s">
        <v>425</v>
      </c>
      <c r="C922" s="117">
        <v>9</v>
      </c>
      <c r="D922" s="100" t="s">
        <v>147</v>
      </c>
      <c r="E922" s="100" t="s">
        <v>447</v>
      </c>
      <c r="F922" s="117">
        <v>800</v>
      </c>
      <c r="G922" s="100"/>
      <c r="H922" s="74">
        <f>H923</f>
        <v>89.9</v>
      </c>
      <c r="I922" s="74">
        <f>I923</f>
        <v>89.9</v>
      </c>
      <c r="J922" s="101">
        <f t="shared" si="69"/>
        <v>0</v>
      </c>
      <c r="K922" s="74">
        <f>K923</f>
        <v>45.9</v>
      </c>
      <c r="L922" s="74">
        <f>L923</f>
        <v>45.9</v>
      </c>
    </row>
    <row r="923" spans="1:12" ht="15">
      <c r="A923" s="22" t="s">
        <v>51</v>
      </c>
      <c r="B923" s="100" t="s">
        <v>425</v>
      </c>
      <c r="C923" s="117">
        <v>9</v>
      </c>
      <c r="D923" s="100" t="s">
        <v>147</v>
      </c>
      <c r="E923" s="100" t="s">
        <v>447</v>
      </c>
      <c r="F923" s="117">
        <v>800</v>
      </c>
      <c r="G923" s="100" t="s">
        <v>52</v>
      </c>
      <c r="H923" s="74">
        <f>'Пр. 9'!I128+'Пр. 9'!I633</f>
        <v>89.9</v>
      </c>
      <c r="I923" s="74">
        <f>'Пр. 9'!J128+'Пр. 9'!J633</f>
        <v>89.9</v>
      </c>
      <c r="J923" s="101">
        <f t="shared" si="69"/>
        <v>0</v>
      </c>
      <c r="K923" s="74">
        <f>'Пр. 9'!L128+'Пр. 9'!L633</f>
        <v>45.9</v>
      </c>
      <c r="L923" s="74">
        <f>'Пр. 9'!M128+'Пр. 9'!M633</f>
        <v>45.9</v>
      </c>
    </row>
    <row r="924" spans="1:12" ht="30" hidden="1">
      <c r="A924" s="22" t="s">
        <v>448</v>
      </c>
      <c r="B924" s="100" t="s">
        <v>425</v>
      </c>
      <c r="C924" s="117">
        <v>9</v>
      </c>
      <c r="D924" s="100" t="s">
        <v>147</v>
      </c>
      <c r="E924" s="100" t="s">
        <v>449</v>
      </c>
      <c r="F924" s="117"/>
      <c r="G924" s="100"/>
      <c r="H924" s="74">
        <f>H925</f>
        <v>0</v>
      </c>
      <c r="I924" s="74">
        <f>I925</f>
        <v>0</v>
      </c>
      <c r="J924" s="101">
        <f t="shared" si="69"/>
        <v>0</v>
      </c>
      <c r="K924" s="74">
        <f>K925</f>
        <v>0</v>
      </c>
      <c r="L924" s="74">
        <f>L925</f>
        <v>0</v>
      </c>
    </row>
    <row r="925" spans="1:12" ht="30" hidden="1">
      <c r="A925" s="22" t="s">
        <v>683</v>
      </c>
      <c r="B925" s="100" t="s">
        <v>425</v>
      </c>
      <c r="C925" s="117">
        <v>9</v>
      </c>
      <c r="D925" s="100" t="s">
        <v>147</v>
      </c>
      <c r="E925" s="100" t="s">
        <v>449</v>
      </c>
      <c r="F925" s="117">
        <v>200</v>
      </c>
      <c r="G925" s="100"/>
      <c r="H925" s="74">
        <f>H926</f>
        <v>0</v>
      </c>
      <c r="I925" s="74">
        <f>I926</f>
        <v>0</v>
      </c>
      <c r="J925" s="101">
        <f t="shared" si="69"/>
        <v>0</v>
      </c>
      <c r="K925" s="74">
        <f>K926</f>
        <v>0</v>
      </c>
      <c r="L925" s="74">
        <f>L926</f>
        <v>0</v>
      </c>
    </row>
    <row r="926" spans="1:12" ht="15" hidden="1">
      <c r="A926" s="22" t="s">
        <v>67</v>
      </c>
      <c r="B926" s="100" t="s">
        <v>425</v>
      </c>
      <c r="C926" s="117">
        <v>9</v>
      </c>
      <c r="D926" s="100" t="s">
        <v>147</v>
      </c>
      <c r="E926" s="100" t="s">
        <v>449</v>
      </c>
      <c r="F926" s="117">
        <v>200</v>
      </c>
      <c r="G926" s="100" t="s">
        <v>68</v>
      </c>
      <c r="H926" s="74">
        <f>'Пр. 9'!I288</f>
        <v>0</v>
      </c>
      <c r="I926" s="74">
        <f>'Пр. 9'!J288</f>
        <v>0</v>
      </c>
      <c r="J926" s="101">
        <f t="shared" si="69"/>
        <v>0</v>
      </c>
      <c r="K926" s="74">
        <f>'Пр. 9'!L288</f>
        <v>0</v>
      </c>
      <c r="L926" s="74">
        <f>'Пр. 9'!M288</f>
        <v>0</v>
      </c>
    </row>
    <row r="927" spans="1:12" ht="30" hidden="1">
      <c r="A927" s="22" t="s">
        <v>504</v>
      </c>
      <c r="B927" s="99" t="s">
        <v>425</v>
      </c>
      <c r="C927" s="99" t="s">
        <v>329</v>
      </c>
      <c r="D927" s="99" t="s">
        <v>147</v>
      </c>
      <c r="E927" s="99" t="s">
        <v>505</v>
      </c>
      <c r="F927" s="99"/>
      <c r="G927" s="100"/>
      <c r="H927" s="74">
        <f>H928</f>
        <v>0</v>
      </c>
      <c r="I927" s="74">
        <f>I928</f>
        <v>0</v>
      </c>
      <c r="J927" s="101">
        <f t="shared" si="69"/>
        <v>0</v>
      </c>
      <c r="K927" s="74">
        <f>K928</f>
        <v>0</v>
      </c>
      <c r="L927" s="74">
        <f>L928</f>
        <v>0</v>
      </c>
    </row>
    <row r="928" spans="1:12" ht="30" hidden="1">
      <c r="A928" s="22" t="s">
        <v>683</v>
      </c>
      <c r="B928" s="99" t="s">
        <v>425</v>
      </c>
      <c r="C928" s="99" t="s">
        <v>329</v>
      </c>
      <c r="D928" s="99" t="s">
        <v>147</v>
      </c>
      <c r="E928" s="99" t="s">
        <v>505</v>
      </c>
      <c r="F928" s="99" t="s">
        <v>682</v>
      </c>
      <c r="G928" s="100"/>
      <c r="H928" s="74">
        <f>H929</f>
        <v>0</v>
      </c>
      <c r="I928" s="74">
        <f>I929</f>
        <v>0</v>
      </c>
      <c r="J928" s="101">
        <f t="shared" si="69"/>
        <v>0</v>
      </c>
      <c r="K928" s="74">
        <f>K929</f>
        <v>0</v>
      </c>
      <c r="L928" s="74">
        <f>L929</f>
        <v>0</v>
      </c>
    </row>
    <row r="929" spans="1:12" ht="15" hidden="1">
      <c r="A929" s="22" t="s">
        <v>67</v>
      </c>
      <c r="B929" s="99" t="s">
        <v>425</v>
      </c>
      <c r="C929" s="99" t="s">
        <v>329</v>
      </c>
      <c r="D929" s="99" t="s">
        <v>147</v>
      </c>
      <c r="E929" s="99" t="s">
        <v>505</v>
      </c>
      <c r="F929" s="99" t="s">
        <v>682</v>
      </c>
      <c r="G929" s="100" t="s">
        <v>68</v>
      </c>
      <c r="H929" s="74">
        <f>'Пр. 9'!I290</f>
        <v>0</v>
      </c>
      <c r="I929" s="74">
        <f>'Пр. 9'!J290</f>
        <v>0</v>
      </c>
      <c r="J929" s="101">
        <f t="shared" si="69"/>
        <v>0</v>
      </c>
      <c r="K929" s="74">
        <f>'Пр. 9'!L290</f>
        <v>0</v>
      </c>
      <c r="L929" s="74">
        <f>'Пр. 9'!M290</f>
        <v>0</v>
      </c>
    </row>
    <row r="930" spans="1:12" ht="45" hidden="1">
      <c r="A930" s="102" t="s">
        <v>450</v>
      </c>
      <c r="B930" s="100" t="s">
        <v>425</v>
      </c>
      <c r="C930" s="117">
        <v>9</v>
      </c>
      <c r="D930" s="100" t="s">
        <v>147</v>
      </c>
      <c r="E930" s="100" t="s">
        <v>451</v>
      </c>
      <c r="F930" s="117"/>
      <c r="G930" s="100"/>
      <c r="H930" s="74">
        <f>H931</f>
        <v>0</v>
      </c>
      <c r="I930" s="74">
        <f>I931</f>
        <v>0</v>
      </c>
      <c r="J930" s="101">
        <f t="shared" si="69"/>
        <v>0</v>
      </c>
      <c r="K930" s="74">
        <f>K931</f>
        <v>0</v>
      </c>
      <c r="L930" s="74">
        <f>L931</f>
        <v>0</v>
      </c>
    </row>
    <row r="931" spans="1:12" ht="30" hidden="1">
      <c r="A931" s="102" t="s">
        <v>683</v>
      </c>
      <c r="B931" s="100" t="s">
        <v>425</v>
      </c>
      <c r="C931" s="117">
        <v>9</v>
      </c>
      <c r="D931" s="100" t="s">
        <v>147</v>
      </c>
      <c r="E931" s="100" t="s">
        <v>451</v>
      </c>
      <c r="F931" s="117">
        <v>200</v>
      </c>
      <c r="G931" s="100"/>
      <c r="H931" s="74">
        <f>H932</f>
        <v>0</v>
      </c>
      <c r="I931" s="74">
        <f>I932</f>
        <v>0</v>
      </c>
      <c r="J931" s="101">
        <f t="shared" si="69"/>
        <v>0</v>
      </c>
      <c r="K931" s="74">
        <f>K932</f>
        <v>0</v>
      </c>
      <c r="L931" s="74">
        <f>L932</f>
        <v>0</v>
      </c>
    </row>
    <row r="932" spans="1:12" ht="15" hidden="1">
      <c r="A932" s="22" t="s">
        <v>51</v>
      </c>
      <c r="B932" s="100" t="s">
        <v>425</v>
      </c>
      <c r="C932" s="117">
        <v>9</v>
      </c>
      <c r="D932" s="100" t="s">
        <v>147</v>
      </c>
      <c r="E932" s="100" t="s">
        <v>451</v>
      </c>
      <c r="F932" s="117">
        <v>200</v>
      </c>
      <c r="G932" s="100" t="s">
        <v>52</v>
      </c>
      <c r="H932" s="74">
        <f>'Пр. 9'!I130</f>
        <v>0</v>
      </c>
      <c r="I932" s="74">
        <f>'Пр. 9'!J130</f>
        <v>0</v>
      </c>
      <c r="J932" s="101">
        <f t="shared" si="69"/>
        <v>0</v>
      </c>
      <c r="K932" s="74">
        <f>'Пр. 9'!L130</f>
        <v>0</v>
      </c>
      <c r="L932" s="74">
        <f>'Пр. 9'!M130</f>
        <v>0</v>
      </c>
    </row>
    <row r="933" spans="1:12" ht="15" hidden="1">
      <c r="A933" s="102" t="s">
        <v>452</v>
      </c>
      <c r="B933" s="100" t="s">
        <v>425</v>
      </c>
      <c r="C933" s="117">
        <v>9</v>
      </c>
      <c r="D933" s="100" t="s">
        <v>147</v>
      </c>
      <c r="E933" s="100" t="s">
        <v>453</v>
      </c>
      <c r="F933" s="117"/>
      <c r="G933" s="100"/>
      <c r="H933" s="74">
        <f>H934</f>
        <v>0</v>
      </c>
      <c r="I933" s="74">
        <f>I934</f>
        <v>0</v>
      </c>
      <c r="J933" s="101">
        <f t="shared" si="69"/>
        <v>0</v>
      </c>
      <c r="K933" s="74">
        <f>K934</f>
        <v>0</v>
      </c>
      <c r="L933" s="74">
        <f>L934</f>
        <v>0</v>
      </c>
    </row>
    <row r="934" spans="1:12" ht="30" hidden="1">
      <c r="A934" s="102" t="s">
        <v>683</v>
      </c>
      <c r="B934" s="100" t="s">
        <v>425</v>
      </c>
      <c r="C934" s="117">
        <v>9</v>
      </c>
      <c r="D934" s="100" t="s">
        <v>147</v>
      </c>
      <c r="E934" s="100" t="s">
        <v>453</v>
      </c>
      <c r="F934" s="117">
        <v>200</v>
      </c>
      <c r="G934" s="100"/>
      <c r="H934" s="74">
        <f>H935</f>
        <v>0</v>
      </c>
      <c r="I934" s="74">
        <f>I935</f>
        <v>0</v>
      </c>
      <c r="J934" s="101">
        <f t="shared" si="69"/>
        <v>0</v>
      </c>
      <c r="K934" s="74">
        <f>K935</f>
        <v>0</v>
      </c>
      <c r="L934" s="74">
        <f>L935</f>
        <v>0</v>
      </c>
    </row>
    <row r="935" spans="1:12" ht="15" hidden="1">
      <c r="A935" s="22" t="s">
        <v>61</v>
      </c>
      <c r="B935" s="100" t="s">
        <v>425</v>
      </c>
      <c r="C935" s="117">
        <v>9</v>
      </c>
      <c r="D935" s="100" t="s">
        <v>147</v>
      </c>
      <c r="E935" s="100" t="s">
        <v>453</v>
      </c>
      <c r="F935" s="117">
        <v>200</v>
      </c>
      <c r="G935" s="100" t="s">
        <v>62</v>
      </c>
      <c r="H935" s="74">
        <f>'Пр. 9'!I223</f>
        <v>0</v>
      </c>
      <c r="I935" s="74">
        <f>'Пр. 9'!J223</f>
        <v>0</v>
      </c>
      <c r="J935" s="101">
        <f t="shared" si="69"/>
        <v>0</v>
      </c>
      <c r="K935" s="74">
        <f>'Пр. 9'!L223</f>
        <v>0</v>
      </c>
      <c r="L935" s="74">
        <f>'Пр. 9'!M223</f>
        <v>0</v>
      </c>
    </row>
    <row r="936" spans="1:12" ht="30">
      <c r="A936" s="102" t="s">
        <v>455</v>
      </c>
      <c r="B936" s="100" t="s">
        <v>425</v>
      </c>
      <c r="C936" s="117">
        <v>9</v>
      </c>
      <c r="D936" s="100" t="s">
        <v>147</v>
      </c>
      <c r="E936" s="100" t="s">
        <v>456</v>
      </c>
      <c r="F936" s="117"/>
      <c r="G936" s="100"/>
      <c r="H936" s="74">
        <f>H937</f>
        <v>50</v>
      </c>
      <c r="I936" s="74">
        <f>I937</f>
        <v>50</v>
      </c>
      <c r="J936" s="101">
        <f t="shared" si="69"/>
        <v>0</v>
      </c>
      <c r="K936" s="74">
        <f>K937</f>
        <v>0</v>
      </c>
      <c r="L936" s="74">
        <f>L937</f>
        <v>400</v>
      </c>
    </row>
    <row r="937" spans="1:12" ht="30">
      <c r="A937" s="102" t="s">
        <v>683</v>
      </c>
      <c r="B937" s="100" t="s">
        <v>425</v>
      </c>
      <c r="C937" s="117">
        <v>9</v>
      </c>
      <c r="D937" s="100" t="s">
        <v>147</v>
      </c>
      <c r="E937" s="100" t="s">
        <v>456</v>
      </c>
      <c r="F937" s="117">
        <v>200</v>
      </c>
      <c r="G937" s="100"/>
      <c r="H937" s="74">
        <f>H938</f>
        <v>50</v>
      </c>
      <c r="I937" s="74">
        <f>I938</f>
        <v>50</v>
      </c>
      <c r="J937" s="101">
        <f t="shared" si="69"/>
        <v>0</v>
      </c>
      <c r="K937" s="74">
        <f>K938</f>
        <v>0</v>
      </c>
      <c r="L937" s="74">
        <f>L938</f>
        <v>400</v>
      </c>
    </row>
    <row r="938" spans="1:12" ht="15">
      <c r="A938" s="22" t="s">
        <v>67</v>
      </c>
      <c r="B938" s="100" t="s">
        <v>425</v>
      </c>
      <c r="C938" s="117">
        <v>9</v>
      </c>
      <c r="D938" s="100" t="s">
        <v>147</v>
      </c>
      <c r="E938" s="100" t="s">
        <v>456</v>
      </c>
      <c r="F938" s="117">
        <v>200</v>
      </c>
      <c r="G938" s="100" t="s">
        <v>68</v>
      </c>
      <c r="H938" s="74">
        <f>'Пр. 9'!I763</f>
        <v>50</v>
      </c>
      <c r="I938" s="74">
        <f>'Пр. 9'!J763</f>
        <v>50</v>
      </c>
      <c r="J938" s="101">
        <f t="shared" si="69"/>
        <v>0</v>
      </c>
      <c r="K938" s="74">
        <f>'Пр. 9'!L763</f>
        <v>0</v>
      </c>
      <c r="L938" s="74">
        <f>'Пр. 9'!M763</f>
        <v>400</v>
      </c>
    </row>
    <row r="939" spans="1:12" ht="75">
      <c r="A939" s="102" t="s">
        <v>501</v>
      </c>
      <c r="B939" s="100" t="s">
        <v>425</v>
      </c>
      <c r="C939" s="100" t="s">
        <v>329</v>
      </c>
      <c r="D939" s="100" t="s">
        <v>147</v>
      </c>
      <c r="E939" s="100" t="s">
        <v>500</v>
      </c>
      <c r="F939" s="117"/>
      <c r="G939" s="117"/>
      <c r="H939" s="74">
        <f>H940</f>
        <v>100</v>
      </c>
      <c r="I939" s="74">
        <f>I940</f>
        <v>100</v>
      </c>
      <c r="J939" s="101">
        <f t="shared" si="69"/>
        <v>0</v>
      </c>
      <c r="K939" s="74">
        <f>K940</f>
        <v>100</v>
      </c>
      <c r="L939" s="74">
        <f>L940</f>
        <v>100</v>
      </c>
    </row>
    <row r="940" spans="1:12" ht="30">
      <c r="A940" s="102" t="s">
        <v>683</v>
      </c>
      <c r="B940" s="100" t="s">
        <v>425</v>
      </c>
      <c r="C940" s="100" t="s">
        <v>329</v>
      </c>
      <c r="D940" s="100" t="s">
        <v>147</v>
      </c>
      <c r="E940" s="100" t="s">
        <v>500</v>
      </c>
      <c r="F940" s="117">
        <v>200</v>
      </c>
      <c r="G940" s="117"/>
      <c r="H940" s="74">
        <f>H941</f>
        <v>100</v>
      </c>
      <c r="I940" s="74">
        <f>I941</f>
        <v>100</v>
      </c>
      <c r="J940" s="101">
        <f t="shared" si="69"/>
        <v>0</v>
      </c>
      <c r="K940" s="74">
        <f>K941</f>
        <v>100</v>
      </c>
      <c r="L940" s="74">
        <f>L941</f>
        <v>100</v>
      </c>
    </row>
    <row r="941" spans="1:12" ht="15">
      <c r="A941" s="102" t="s">
        <v>51</v>
      </c>
      <c r="B941" s="100" t="s">
        <v>425</v>
      </c>
      <c r="C941" s="100" t="s">
        <v>329</v>
      </c>
      <c r="D941" s="100" t="s">
        <v>147</v>
      </c>
      <c r="E941" s="100" t="s">
        <v>500</v>
      </c>
      <c r="F941" s="117">
        <v>200</v>
      </c>
      <c r="G941" s="100" t="s">
        <v>52</v>
      </c>
      <c r="H941" s="74">
        <f>'Пр. 9'!I132</f>
        <v>100</v>
      </c>
      <c r="I941" s="74">
        <f>'Пр. 9'!J132</f>
        <v>100</v>
      </c>
      <c r="J941" s="101">
        <f t="shared" si="69"/>
        <v>0</v>
      </c>
      <c r="K941" s="74">
        <f>'Пр. 9'!L132</f>
        <v>100</v>
      </c>
      <c r="L941" s="74">
        <f>'Пр. 9'!M132</f>
        <v>100</v>
      </c>
    </row>
    <row r="942" spans="1:12" ht="45">
      <c r="A942" s="132" t="s">
        <v>517</v>
      </c>
      <c r="B942" s="99" t="s">
        <v>425</v>
      </c>
      <c r="C942" s="99" t="s">
        <v>329</v>
      </c>
      <c r="D942" s="99" t="s">
        <v>147</v>
      </c>
      <c r="E942" s="99" t="s">
        <v>515</v>
      </c>
      <c r="F942" s="99"/>
      <c r="G942" s="100"/>
      <c r="H942" s="74">
        <f>H943</f>
        <v>2193</v>
      </c>
      <c r="I942" s="74">
        <f>I943</f>
        <v>2193</v>
      </c>
      <c r="J942" s="101">
        <f t="shared" si="69"/>
        <v>0</v>
      </c>
      <c r="K942" s="74">
        <f>K943</f>
        <v>1092</v>
      </c>
      <c r="L942" s="74">
        <f>L943</f>
        <v>1155</v>
      </c>
    </row>
    <row r="943" spans="1:12" ht="30">
      <c r="A943" s="22" t="s">
        <v>683</v>
      </c>
      <c r="B943" s="99" t="s">
        <v>425</v>
      </c>
      <c r="C943" s="99" t="s">
        <v>329</v>
      </c>
      <c r="D943" s="99" t="s">
        <v>147</v>
      </c>
      <c r="E943" s="99" t="s">
        <v>515</v>
      </c>
      <c r="F943" s="99" t="s">
        <v>682</v>
      </c>
      <c r="G943" s="100"/>
      <c r="H943" s="74">
        <f>H944</f>
        <v>2193</v>
      </c>
      <c r="I943" s="74">
        <f>I944</f>
        <v>2193</v>
      </c>
      <c r="J943" s="101">
        <f t="shared" si="69"/>
        <v>0</v>
      </c>
      <c r="K943" s="74">
        <f>K944</f>
        <v>1092</v>
      </c>
      <c r="L943" s="74">
        <f>L944</f>
        <v>1155</v>
      </c>
    </row>
    <row r="944" spans="1:12" ht="15">
      <c r="A944" s="133" t="s">
        <v>71</v>
      </c>
      <c r="B944" s="99" t="s">
        <v>425</v>
      </c>
      <c r="C944" s="99" t="s">
        <v>329</v>
      </c>
      <c r="D944" s="99" t="s">
        <v>147</v>
      </c>
      <c r="E944" s="99" t="s">
        <v>515</v>
      </c>
      <c r="F944" s="99" t="s">
        <v>682</v>
      </c>
      <c r="G944" s="100" t="s">
        <v>72</v>
      </c>
      <c r="H944" s="74">
        <f>'Пр. 9'!I306</f>
        <v>2193</v>
      </c>
      <c r="I944" s="74">
        <f>'Пр. 9'!J306</f>
        <v>2193</v>
      </c>
      <c r="J944" s="101">
        <f t="shared" si="69"/>
        <v>0</v>
      </c>
      <c r="K944" s="74">
        <f>'Пр. 9'!L306</f>
        <v>1092</v>
      </c>
      <c r="L944" s="74">
        <f>'Пр. 9'!M306</f>
        <v>1155</v>
      </c>
    </row>
    <row r="945" spans="1:12" ht="30">
      <c r="A945" s="132" t="s">
        <v>518</v>
      </c>
      <c r="B945" s="99" t="s">
        <v>425</v>
      </c>
      <c r="C945" s="99" t="s">
        <v>329</v>
      </c>
      <c r="D945" s="99" t="s">
        <v>147</v>
      </c>
      <c r="E945" s="99" t="s">
        <v>516</v>
      </c>
      <c r="F945" s="99"/>
      <c r="G945" s="100"/>
      <c r="H945" s="74">
        <f>H946</f>
        <v>20</v>
      </c>
      <c r="I945" s="74">
        <f>I946</f>
        <v>20</v>
      </c>
      <c r="J945" s="101">
        <f t="shared" si="69"/>
        <v>0</v>
      </c>
      <c r="K945" s="74">
        <f>K946</f>
        <v>22</v>
      </c>
      <c r="L945" s="74">
        <f>L946</f>
        <v>24</v>
      </c>
    </row>
    <row r="946" spans="1:12" ht="30">
      <c r="A946" s="22" t="s">
        <v>683</v>
      </c>
      <c r="B946" s="99" t="s">
        <v>425</v>
      </c>
      <c r="C946" s="99" t="s">
        <v>329</v>
      </c>
      <c r="D946" s="99" t="s">
        <v>147</v>
      </c>
      <c r="E946" s="99" t="s">
        <v>516</v>
      </c>
      <c r="F946" s="99" t="s">
        <v>682</v>
      </c>
      <c r="G946" s="100"/>
      <c r="H946" s="74">
        <f>H947</f>
        <v>20</v>
      </c>
      <c r="I946" s="74">
        <f>I947</f>
        <v>20</v>
      </c>
      <c r="J946" s="101">
        <f aca="true" t="shared" si="70" ref="J946:J1018">I946-H946</f>
        <v>0</v>
      </c>
      <c r="K946" s="74">
        <f>K947</f>
        <v>22</v>
      </c>
      <c r="L946" s="74">
        <f>L947</f>
        <v>24</v>
      </c>
    </row>
    <row r="947" spans="1:12" ht="15">
      <c r="A947" s="133" t="s">
        <v>71</v>
      </c>
      <c r="B947" s="99" t="s">
        <v>425</v>
      </c>
      <c r="C947" s="99" t="s">
        <v>329</v>
      </c>
      <c r="D947" s="99" t="s">
        <v>147</v>
      </c>
      <c r="E947" s="99" t="s">
        <v>516</v>
      </c>
      <c r="F947" s="99" t="s">
        <v>682</v>
      </c>
      <c r="G947" s="100" t="s">
        <v>72</v>
      </c>
      <c r="H947" s="74">
        <f>'Пр. 9'!I308</f>
        <v>20</v>
      </c>
      <c r="I947" s="74">
        <f>'Пр. 9'!J308</f>
        <v>20</v>
      </c>
      <c r="J947" s="101">
        <f t="shared" si="70"/>
        <v>0</v>
      </c>
      <c r="K947" s="74">
        <f>'Пр. 9'!L308</f>
        <v>22</v>
      </c>
      <c r="L947" s="74">
        <f>'Пр. 9'!M308</f>
        <v>24</v>
      </c>
    </row>
    <row r="948" spans="1:12" ht="30" hidden="1">
      <c r="A948" s="22" t="s">
        <v>523</v>
      </c>
      <c r="B948" s="99" t="s">
        <v>425</v>
      </c>
      <c r="C948" s="99" t="s">
        <v>329</v>
      </c>
      <c r="D948" s="99" t="s">
        <v>147</v>
      </c>
      <c r="E948" s="99" t="s">
        <v>522</v>
      </c>
      <c r="F948" s="99"/>
      <c r="G948" s="100"/>
      <c r="H948" s="74">
        <f>H949</f>
        <v>0</v>
      </c>
      <c r="I948" s="74">
        <f>I949</f>
        <v>0</v>
      </c>
      <c r="J948" s="101">
        <f t="shared" si="70"/>
        <v>0</v>
      </c>
      <c r="K948" s="74">
        <f>K949</f>
        <v>0</v>
      </c>
      <c r="L948" s="74">
        <f>L949</f>
        <v>0</v>
      </c>
    </row>
    <row r="949" spans="1:12" ht="30" hidden="1">
      <c r="A949" s="22" t="s">
        <v>683</v>
      </c>
      <c r="B949" s="99" t="s">
        <v>425</v>
      </c>
      <c r="C949" s="99" t="s">
        <v>329</v>
      </c>
      <c r="D949" s="99" t="s">
        <v>147</v>
      </c>
      <c r="E949" s="99" t="s">
        <v>522</v>
      </c>
      <c r="F949" s="99" t="s">
        <v>682</v>
      </c>
      <c r="G949" s="100"/>
      <c r="H949" s="74">
        <f>H950</f>
        <v>0</v>
      </c>
      <c r="I949" s="74">
        <f>I950</f>
        <v>0</v>
      </c>
      <c r="J949" s="101">
        <f t="shared" si="70"/>
        <v>0</v>
      </c>
      <c r="K949" s="74">
        <f>K950</f>
        <v>0</v>
      </c>
      <c r="L949" s="74">
        <f>L950</f>
        <v>0</v>
      </c>
    </row>
    <row r="950" spans="1:12" ht="15" hidden="1">
      <c r="A950" s="22" t="s">
        <v>67</v>
      </c>
      <c r="B950" s="99" t="s">
        <v>425</v>
      </c>
      <c r="C950" s="99" t="s">
        <v>329</v>
      </c>
      <c r="D950" s="99" t="s">
        <v>147</v>
      </c>
      <c r="E950" s="99" t="s">
        <v>522</v>
      </c>
      <c r="F950" s="99" t="s">
        <v>682</v>
      </c>
      <c r="G950" s="100" t="s">
        <v>68</v>
      </c>
      <c r="H950" s="74">
        <f>'Пр. 9'!I292</f>
        <v>0</v>
      </c>
      <c r="I950" s="74">
        <f>'Пр. 9'!J292</f>
        <v>0</v>
      </c>
      <c r="J950" s="101">
        <f t="shared" si="70"/>
        <v>0</v>
      </c>
      <c r="K950" s="74">
        <f>'Пр. 9'!L292</f>
        <v>0</v>
      </c>
      <c r="L950" s="74">
        <f>'Пр. 9'!M292</f>
        <v>0</v>
      </c>
    </row>
    <row r="951" spans="1:12" ht="21" customHeight="1">
      <c r="A951" s="22" t="s">
        <v>636</v>
      </c>
      <c r="B951" s="99" t="s">
        <v>425</v>
      </c>
      <c r="C951" s="99" t="s">
        <v>329</v>
      </c>
      <c r="D951" s="99" t="s">
        <v>147</v>
      </c>
      <c r="E951" s="99" t="s">
        <v>635</v>
      </c>
      <c r="F951" s="99"/>
      <c r="G951" s="100"/>
      <c r="H951" s="74">
        <f>H952</f>
        <v>800</v>
      </c>
      <c r="I951" s="74">
        <f>I952</f>
        <v>800</v>
      </c>
      <c r="J951" s="101">
        <f t="shared" si="70"/>
        <v>0</v>
      </c>
      <c r="K951" s="74">
        <f>K952</f>
        <v>400</v>
      </c>
      <c r="L951" s="74">
        <f>L952</f>
        <v>400</v>
      </c>
    </row>
    <row r="952" spans="1:12" ht="30">
      <c r="A952" s="22" t="s">
        <v>683</v>
      </c>
      <c r="B952" s="99" t="s">
        <v>425</v>
      </c>
      <c r="C952" s="99" t="s">
        <v>329</v>
      </c>
      <c r="D952" s="99" t="s">
        <v>147</v>
      </c>
      <c r="E952" s="99" t="s">
        <v>635</v>
      </c>
      <c r="F952" s="99" t="s">
        <v>682</v>
      </c>
      <c r="G952" s="100"/>
      <c r="H952" s="74">
        <f>H953</f>
        <v>800</v>
      </c>
      <c r="I952" s="74">
        <f>I953</f>
        <v>800</v>
      </c>
      <c r="J952" s="101">
        <f t="shared" si="70"/>
        <v>0</v>
      </c>
      <c r="K952" s="74">
        <f>K953</f>
        <v>400</v>
      </c>
      <c r="L952" s="74">
        <f>L953</f>
        <v>400</v>
      </c>
    </row>
    <row r="953" spans="1:12" ht="15">
      <c r="A953" s="22" t="s">
        <v>67</v>
      </c>
      <c r="B953" s="99" t="s">
        <v>425</v>
      </c>
      <c r="C953" s="99" t="s">
        <v>329</v>
      </c>
      <c r="D953" s="99" t="s">
        <v>147</v>
      </c>
      <c r="E953" s="99" t="s">
        <v>635</v>
      </c>
      <c r="F953" s="99" t="s">
        <v>682</v>
      </c>
      <c r="G953" s="100" t="s">
        <v>68</v>
      </c>
      <c r="H953" s="74">
        <f>'Пр. 9'!I294</f>
        <v>800</v>
      </c>
      <c r="I953" s="74">
        <f>'Пр. 9'!J294</f>
        <v>800</v>
      </c>
      <c r="J953" s="101">
        <f t="shared" si="70"/>
        <v>0</v>
      </c>
      <c r="K953" s="74">
        <f>'Пр. 9'!L294</f>
        <v>400</v>
      </c>
      <c r="L953" s="74">
        <f>'Пр. 9'!M294</f>
        <v>400</v>
      </c>
    </row>
    <row r="954" spans="1:12" ht="45">
      <c r="A954" s="111" t="s">
        <v>741</v>
      </c>
      <c r="B954" s="99" t="s">
        <v>425</v>
      </c>
      <c r="C954" s="99" t="s">
        <v>329</v>
      </c>
      <c r="D954" s="99" t="s">
        <v>147</v>
      </c>
      <c r="E954" s="99" t="s">
        <v>709</v>
      </c>
      <c r="F954" s="99"/>
      <c r="G954" s="100"/>
      <c r="H954" s="74">
        <f>H955</f>
        <v>0</v>
      </c>
      <c r="I954" s="74">
        <f>I955</f>
        <v>0</v>
      </c>
      <c r="J954" s="101">
        <f t="shared" si="70"/>
        <v>0</v>
      </c>
      <c r="K954" s="74">
        <f>K955</f>
        <v>0</v>
      </c>
      <c r="L954" s="74">
        <f>L955</f>
        <v>8000</v>
      </c>
    </row>
    <row r="955" spans="1:12" ht="30">
      <c r="A955" s="111" t="s">
        <v>683</v>
      </c>
      <c r="B955" s="99" t="s">
        <v>425</v>
      </c>
      <c r="C955" s="99" t="s">
        <v>329</v>
      </c>
      <c r="D955" s="99" t="s">
        <v>147</v>
      </c>
      <c r="E955" s="99" t="s">
        <v>709</v>
      </c>
      <c r="F955" s="99" t="s">
        <v>682</v>
      </c>
      <c r="G955" s="100"/>
      <c r="H955" s="74">
        <f>H956</f>
        <v>0</v>
      </c>
      <c r="I955" s="74">
        <f>I956</f>
        <v>0</v>
      </c>
      <c r="J955" s="101">
        <f t="shared" si="70"/>
        <v>0</v>
      </c>
      <c r="K955" s="74">
        <f>K956</f>
        <v>0</v>
      </c>
      <c r="L955" s="74">
        <f>L956</f>
        <v>8000</v>
      </c>
    </row>
    <row r="956" spans="1:12" ht="15">
      <c r="A956" s="22" t="s">
        <v>61</v>
      </c>
      <c r="B956" s="99" t="s">
        <v>425</v>
      </c>
      <c r="C956" s="99" t="s">
        <v>329</v>
      </c>
      <c r="D956" s="99" t="s">
        <v>147</v>
      </c>
      <c r="E956" s="99" t="s">
        <v>709</v>
      </c>
      <c r="F956" s="99" t="s">
        <v>682</v>
      </c>
      <c r="G956" s="100" t="s">
        <v>62</v>
      </c>
      <c r="H956" s="74">
        <f>'Пр. 9'!I225</f>
        <v>0</v>
      </c>
      <c r="I956" s="74">
        <f>'Пр. 9'!J225</f>
        <v>0</v>
      </c>
      <c r="J956" s="101">
        <f t="shared" si="70"/>
        <v>0</v>
      </c>
      <c r="K956" s="74">
        <f>'Пр. 9'!L225</f>
        <v>0</v>
      </c>
      <c r="L956" s="74">
        <f>'Пр. 9'!M225</f>
        <v>8000</v>
      </c>
    </row>
    <row r="957" spans="1:12" ht="30">
      <c r="A957" s="111" t="s">
        <v>1093</v>
      </c>
      <c r="B957" s="99" t="s">
        <v>425</v>
      </c>
      <c r="C957" s="99" t="s">
        <v>329</v>
      </c>
      <c r="D957" s="99" t="s">
        <v>147</v>
      </c>
      <c r="E957" s="99" t="s">
        <v>1092</v>
      </c>
      <c r="F957" s="99"/>
      <c r="G957" s="100"/>
      <c r="H957" s="74">
        <f>H958</f>
        <v>650</v>
      </c>
      <c r="I957" s="74">
        <f>I958</f>
        <v>650</v>
      </c>
      <c r="J957" s="101">
        <f t="shared" si="70"/>
        <v>0</v>
      </c>
      <c r="K957" s="74">
        <f>K958</f>
        <v>0</v>
      </c>
      <c r="L957" s="74">
        <f>L958</f>
        <v>0</v>
      </c>
    </row>
    <row r="958" spans="1:12" ht="30">
      <c r="A958" s="111" t="s">
        <v>683</v>
      </c>
      <c r="B958" s="99" t="s">
        <v>425</v>
      </c>
      <c r="C958" s="99" t="s">
        <v>329</v>
      </c>
      <c r="D958" s="99" t="s">
        <v>147</v>
      </c>
      <c r="E958" s="99" t="s">
        <v>1092</v>
      </c>
      <c r="F958" s="99" t="s">
        <v>682</v>
      </c>
      <c r="G958" s="100"/>
      <c r="H958" s="74">
        <f>H959</f>
        <v>650</v>
      </c>
      <c r="I958" s="74">
        <f>I959</f>
        <v>650</v>
      </c>
      <c r="J958" s="101">
        <f t="shared" si="70"/>
        <v>0</v>
      </c>
      <c r="K958" s="74">
        <f>K959</f>
        <v>0</v>
      </c>
      <c r="L958" s="74">
        <f>L959</f>
        <v>0</v>
      </c>
    </row>
    <row r="959" spans="1:12" ht="33" customHeight="1">
      <c r="A959" s="70" t="s">
        <v>55</v>
      </c>
      <c r="B959" s="99" t="s">
        <v>425</v>
      </c>
      <c r="C959" s="99" t="s">
        <v>329</v>
      </c>
      <c r="D959" s="99" t="s">
        <v>147</v>
      </c>
      <c r="E959" s="99" t="s">
        <v>1092</v>
      </c>
      <c r="F959" s="99" t="s">
        <v>682</v>
      </c>
      <c r="G959" s="100" t="s">
        <v>56</v>
      </c>
      <c r="H959" s="74">
        <f>'Пр. 9'!I175</f>
        <v>650</v>
      </c>
      <c r="I959" s="74">
        <f>'Пр. 9'!J175</f>
        <v>650</v>
      </c>
      <c r="J959" s="101">
        <f t="shared" si="70"/>
        <v>0</v>
      </c>
      <c r="K959" s="74">
        <f>'Пр. 9'!L175</f>
        <v>0</v>
      </c>
      <c r="L959" s="74">
        <f>'Пр. 9'!M175</f>
        <v>0</v>
      </c>
    </row>
    <row r="960" spans="1:12" ht="30">
      <c r="A960" s="109" t="s">
        <v>1095</v>
      </c>
      <c r="B960" s="100" t="s">
        <v>425</v>
      </c>
      <c r="C960" s="100" t="s">
        <v>329</v>
      </c>
      <c r="D960" s="100" t="s">
        <v>147</v>
      </c>
      <c r="E960" s="100" t="s">
        <v>1094</v>
      </c>
      <c r="F960" s="99"/>
      <c r="G960" s="100"/>
      <c r="H960" s="74">
        <f>H961</f>
        <v>5220.2</v>
      </c>
      <c r="I960" s="74">
        <f>I961</f>
        <v>5220.2</v>
      </c>
      <c r="J960" s="101">
        <f t="shared" si="70"/>
        <v>0</v>
      </c>
      <c r="K960" s="74">
        <f>K961</f>
        <v>0</v>
      </c>
      <c r="L960" s="74">
        <f>L961</f>
        <v>0</v>
      </c>
    </row>
    <row r="961" spans="1:12" ht="30">
      <c r="A961" s="115" t="s">
        <v>688</v>
      </c>
      <c r="B961" s="100" t="s">
        <v>425</v>
      </c>
      <c r="C961" s="100" t="s">
        <v>329</v>
      </c>
      <c r="D961" s="100" t="s">
        <v>147</v>
      </c>
      <c r="E961" s="100" t="s">
        <v>1094</v>
      </c>
      <c r="F961" s="99" t="s">
        <v>689</v>
      </c>
      <c r="G961" s="100"/>
      <c r="H961" s="74">
        <f>H962</f>
        <v>5220.2</v>
      </c>
      <c r="I961" s="74">
        <f>I962</f>
        <v>5220.2</v>
      </c>
      <c r="J961" s="101">
        <f t="shared" si="70"/>
        <v>0</v>
      </c>
      <c r="K961" s="74">
        <f>K962</f>
        <v>0</v>
      </c>
      <c r="L961" s="74">
        <f>L962</f>
        <v>0</v>
      </c>
    </row>
    <row r="962" spans="1:12" ht="15">
      <c r="A962" s="88" t="s">
        <v>85</v>
      </c>
      <c r="B962" s="100" t="s">
        <v>425</v>
      </c>
      <c r="C962" s="100" t="s">
        <v>329</v>
      </c>
      <c r="D962" s="100" t="s">
        <v>147</v>
      </c>
      <c r="E962" s="100" t="s">
        <v>1094</v>
      </c>
      <c r="F962" s="99" t="s">
        <v>689</v>
      </c>
      <c r="G962" s="100" t="s">
        <v>86</v>
      </c>
      <c r="H962" s="74">
        <f>'Пр. 9'!I891</f>
        <v>5220.2</v>
      </c>
      <c r="I962" s="74">
        <f>'Пр. 9'!J891</f>
        <v>5220.2</v>
      </c>
      <c r="J962" s="101">
        <f t="shared" si="70"/>
        <v>0</v>
      </c>
      <c r="K962" s="74">
        <f>'Пр. 9'!L891</f>
        <v>0</v>
      </c>
      <c r="L962" s="74">
        <f>'Пр. 9'!M891</f>
        <v>0</v>
      </c>
    </row>
    <row r="963" spans="1:12" ht="18" customHeight="1">
      <c r="A963" s="109" t="s">
        <v>1101</v>
      </c>
      <c r="B963" s="99" t="s">
        <v>425</v>
      </c>
      <c r="C963" s="99" t="s">
        <v>329</v>
      </c>
      <c r="D963" s="99" t="s">
        <v>147</v>
      </c>
      <c r="E963" s="99" t="s">
        <v>1102</v>
      </c>
      <c r="F963" s="99"/>
      <c r="G963" s="100"/>
      <c r="H963" s="74">
        <f>H964</f>
        <v>11.4</v>
      </c>
      <c r="I963" s="74">
        <f>I964</f>
        <v>11.4</v>
      </c>
      <c r="J963" s="101">
        <f t="shared" si="70"/>
        <v>0</v>
      </c>
      <c r="K963" s="74">
        <f>K964</f>
        <v>0</v>
      </c>
      <c r="L963" s="74">
        <f>L964</f>
        <v>0</v>
      </c>
    </row>
    <row r="964" spans="1:12" ht="33" customHeight="1">
      <c r="A964" s="109" t="s">
        <v>683</v>
      </c>
      <c r="B964" s="99" t="s">
        <v>425</v>
      </c>
      <c r="C964" s="99" t="s">
        <v>329</v>
      </c>
      <c r="D964" s="99" t="s">
        <v>147</v>
      </c>
      <c r="E964" s="99" t="s">
        <v>1102</v>
      </c>
      <c r="F964" s="99" t="s">
        <v>682</v>
      </c>
      <c r="G964" s="100"/>
      <c r="H964" s="74">
        <f>H965</f>
        <v>11.4</v>
      </c>
      <c r="I964" s="74">
        <f>I965</f>
        <v>11.4</v>
      </c>
      <c r="J964" s="101">
        <f t="shared" si="70"/>
        <v>0</v>
      </c>
      <c r="K964" s="74">
        <f>K965</f>
        <v>0</v>
      </c>
      <c r="L964" s="74">
        <f>L965</f>
        <v>0</v>
      </c>
    </row>
    <row r="965" spans="1:12" ht="18.75" customHeight="1">
      <c r="A965" s="133" t="s">
        <v>71</v>
      </c>
      <c r="B965" s="99" t="s">
        <v>425</v>
      </c>
      <c r="C965" s="99" t="s">
        <v>329</v>
      </c>
      <c r="D965" s="99" t="s">
        <v>147</v>
      </c>
      <c r="E965" s="99" t="s">
        <v>1102</v>
      </c>
      <c r="F965" s="99" t="s">
        <v>682</v>
      </c>
      <c r="G965" s="100" t="s">
        <v>72</v>
      </c>
      <c r="H965" s="74">
        <f>'Пр. 9'!I310</f>
        <v>11.4</v>
      </c>
      <c r="I965" s="74">
        <f>'Пр. 9'!J310</f>
        <v>11.4</v>
      </c>
      <c r="J965" s="101">
        <f t="shared" si="70"/>
        <v>0</v>
      </c>
      <c r="K965" s="74">
        <f>'Пр. 9'!L310</f>
        <v>0</v>
      </c>
      <c r="L965" s="74">
        <f>'Пр. 9'!M310</f>
        <v>0</v>
      </c>
    </row>
    <row r="966" spans="1:12" ht="45">
      <c r="A966" s="103" t="s">
        <v>457</v>
      </c>
      <c r="B966" s="100" t="s">
        <v>425</v>
      </c>
      <c r="C966" s="117">
        <v>9</v>
      </c>
      <c r="D966" s="100" t="s">
        <v>147</v>
      </c>
      <c r="E966" s="99" t="s">
        <v>458</v>
      </c>
      <c r="F966" s="117"/>
      <c r="G966" s="117"/>
      <c r="H966" s="74">
        <f>H967</f>
        <v>72.6</v>
      </c>
      <c r="I966" s="74">
        <f>I967</f>
        <v>72.6</v>
      </c>
      <c r="J966" s="101">
        <f t="shared" si="70"/>
        <v>0</v>
      </c>
      <c r="K966" s="74">
        <f>K967</f>
        <v>39</v>
      </c>
      <c r="L966" s="74">
        <f>L967</f>
        <v>115.1</v>
      </c>
    </row>
    <row r="967" spans="1:12" ht="30">
      <c r="A967" s="102" t="s">
        <v>683</v>
      </c>
      <c r="B967" s="100" t="s">
        <v>425</v>
      </c>
      <c r="C967" s="117">
        <v>9</v>
      </c>
      <c r="D967" s="100" t="s">
        <v>147</v>
      </c>
      <c r="E967" s="99" t="s">
        <v>458</v>
      </c>
      <c r="F967" s="117">
        <v>200</v>
      </c>
      <c r="G967" s="117"/>
      <c r="H967" s="74">
        <f>H968</f>
        <v>72.6</v>
      </c>
      <c r="I967" s="74">
        <f>I968</f>
        <v>72.6</v>
      </c>
      <c r="J967" s="101">
        <f t="shared" si="70"/>
        <v>0</v>
      </c>
      <c r="K967" s="74">
        <f>K968</f>
        <v>39</v>
      </c>
      <c r="L967" s="74">
        <f>L968</f>
        <v>115.1</v>
      </c>
    </row>
    <row r="968" spans="1:12" ht="15">
      <c r="A968" s="103" t="s">
        <v>45</v>
      </c>
      <c r="B968" s="100" t="s">
        <v>425</v>
      </c>
      <c r="C968" s="117">
        <v>9</v>
      </c>
      <c r="D968" s="100" t="s">
        <v>147</v>
      </c>
      <c r="E968" s="99" t="s">
        <v>458</v>
      </c>
      <c r="F968" s="117">
        <v>200</v>
      </c>
      <c r="G968" s="100" t="s">
        <v>46</v>
      </c>
      <c r="H968" s="74">
        <f>'Пр. 9'!I70</f>
        <v>72.6</v>
      </c>
      <c r="I968" s="74">
        <f>'Пр. 9'!J70</f>
        <v>72.6</v>
      </c>
      <c r="J968" s="101">
        <f t="shared" si="70"/>
        <v>0</v>
      </c>
      <c r="K968" s="74">
        <f>'Пр. 9'!L70</f>
        <v>39</v>
      </c>
      <c r="L968" s="74">
        <f>'Пр. 9'!M70</f>
        <v>115.1</v>
      </c>
    </row>
    <row r="969" spans="1:12" ht="45" hidden="1">
      <c r="A969" s="102" t="s">
        <v>459</v>
      </c>
      <c r="B969" s="100" t="s">
        <v>425</v>
      </c>
      <c r="C969" s="117">
        <v>9</v>
      </c>
      <c r="D969" s="100" t="s">
        <v>147</v>
      </c>
      <c r="E969" s="100" t="s">
        <v>460</v>
      </c>
      <c r="F969" s="117"/>
      <c r="G969" s="100"/>
      <c r="H969" s="74">
        <f>H970</f>
        <v>0</v>
      </c>
      <c r="I969" s="74">
        <f>I970</f>
        <v>0</v>
      </c>
      <c r="J969" s="101">
        <f t="shared" si="70"/>
        <v>0</v>
      </c>
      <c r="K969" s="74">
        <f>K970</f>
        <v>0</v>
      </c>
      <c r="L969" s="74">
        <f>L970</f>
        <v>0</v>
      </c>
    </row>
    <row r="970" spans="1:12" ht="15" hidden="1">
      <c r="A970" s="107" t="s">
        <v>692</v>
      </c>
      <c r="B970" s="100" t="s">
        <v>425</v>
      </c>
      <c r="C970" s="117">
        <v>9</v>
      </c>
      <c r="D970" s="100" t="s">
        <v>147</v>
      </c>
      <c r="E970" s="100" t="s">
        <v>460</v>
      </c>
      <c r="F970" s="117">
        <v>500</v>
      </c>
      <c r="G970" s="100"/>
      <c r="H970" s="74">
        <f>H971</f>
        <v>0</v>
      </c>
      <c r="I970" s="74">
        <f>I971</f>
        <v>0</v>
      </c>
      <c r="J970" s="101">
        <f t="shared" si="70"/>
        <v>0</v>
      </c>
      <c r="K970" s="74">
        <f>K971</f>
        <v>0</v>
      </c>
      <c r="L970" s="74">
        <f>L971</f>
        <v>0</v>
      </c>
    </row>
    <row r="971" spans="1:12" ht="15" hidden="1">
      <c r="A971" s="107" t="s">
        <v>127</v>
      </c>
      <c r="B971" s="100" t="s">
        <v>425</v>
      </c>
      <c r="C971" s="117">
        <v>9</v>
      </c>
      <c r="D971" s="100" t="s">
        <v>147</v>
      </c>
      <c r="E971" s="100" t="s">
        <v>460</v>
      </c>
      <c r="F971" s="117">
        <v>500</v>
      </c>
      <c r="G971" s="100" t="s">
        <v>128</v>
      </c>
      <c r="H971" s="74">
        <f>'Пр. 9'!I705</f>
        <v>0</v>
      </c>
      <c r="I971" s="74">
        <f>'Пр. 9'!J705</f>
        <v>0</v>
      </c>
      <c r="J971" s="101">
        <f t="shared" si="70"/>
        <v>0</v>
      </c>
      <c r="K971" s="74">
        <f>'Пр. 9'!L705</f>
        <v>0</v>
      </c>
      <c r="L971" s="74">
        <f>'Пр. 9'!M705</f>
        <v>0</v>
      </c>
    </row>
    <row r="972" spans="1:12" ht="120" hidden="1">
      <c r="A972" s="107" t="s">
        <v>461</v>
      </c>
      <c r="B972" s="100" t="s">
        <v>425</v>
      </c>
      <c r="C972" s="117">
        <v>9</v>
      </c>
      <c r="D972" s="100" t="s">
        <v>147</v>
      </c>
      <c r="E972" s="100" t="s">
        <v>462</v>
      </c>
      <c r="F972" s="117"/>
      <c r="G972" s="100"/>
      <c r="H972" s="74">
        <f>H973</f>
        <v>0</v>
      </c>
      <c r="I972" s="74">
        <f>I973</f>
        <v>0</v>
      </c>
      <c r="J972" s="101">
        <f t="shared" si="70"/>
        <v>0</v>
      </c>
      <c r="K972" s="74">
        <f>K973</f>
        <v>0</v>
      </c>
      <c r="L972" s="74">
        <f>L973</f>
        <v>0</v>
      </c>
    </row>
    <row r="973" spans="1:12" ht="15" hidden="1">
      <c r="A973" s="107" t="s">
        <v>692</v>
      </c>
      <c r="B973" s="100" t="s">
        <v>425</v>
      </c>
      <c r="C973" s="117">
        <v>9</v>
      </c>
      <c r="D973" s="100" t="s">
        <v>147</v>
      </c>
      <c r="E973" s="100" t="s">
        <v>462</v>
      </c>
      <c r="F973" s="117">
        <v>500</v>
      </c>
      <c r="G973" s="100"/>
      <c r="H973" s="74">
        <f>H974</f>
        <v>0</v>
      </c>
      <c r="I973" s="74">
        <f>I974</f>
        <v>0</v>
      </c>
      <c r="J973" s="101">
        <f t="shared" si="70"/>
        <v>0</v>
      </c>
      <c r="K973" s="74">
        <f>K974</f>
        <v>0</v>
      </c>
      <c r="L973" s="74">
        <f>L974</f>
        <v>0</v>
      </c>
    </row>
    <row r="974" spans="1:12" ht="15" hidden="1">
      <c r="A974" s="88" t="s">
        <v>71</v>
      </c>
      <c r="B974" s="100" t="s">
        <v>425</v>
      </c>
      <c r="C974" s="117">
        <v>9</v>
      </c>
      <c r="D974" s="100" t="s">
        <v>147</v>
      </c>
      <c r="E974" s="100" t="s">
        <v>462</v>
      </c>
      <c r="F974" s="117">
        <v>500</v>
      </c>
      <c r="G974" s="100" t="s">
        <v>72</v>
      </c>
      <c r="H974" s="74">
        <f>'Пр. 9'!I312</f>
        <v>0</v>
      </c>
      <c r="I974" s="74">
        <f>'Пр. 9'!J312</f>
        <v>0</v>
      </c>
      <c r="J974" s="101">
        <f t="shared" si="70"/>
        <v>0</v>
      </c>
      <c r="K974" s="74">
        <f>'Пр. 9'!L312</f>
        <v>0</v>
      </c>
      <c r="L974" s="74">
        <f>'Пр. 9'!M312</f>
        <v>0</v>
      </c>
    </row>
    <row r="975" spans="1:12" ht="45">
      <c r="A975" s="107" t="s">
        <v>628</v>
      </c>
      <c r="B975" s="100" t="s">
        <v>425</v>
      </c>
      <c r="C975" s="100" t="s">
        <v>329</v>
      </c>
      <c r="D975" s="100" t="s">
        <v>147</v>
      </c>
      <c r="E975" s="100" t="s">
        <v>526</v>
      </c>
      <c r="F975" s="117"/>
      <c r="G975" s="100"/>
      <c r="H975" s="74">
        <f>H976</f>
        <v>11487.6</v>
      </c>
      <c r="I975" s="74">
        <f>I976</f>
        <v>20089</v>
      </c>
      <c r="J975" s="101">
        <f t="shared" si="70"/>
        <v>8601.4</v>
      </c>
      <c r="K975" s="74">
        <f>K976</f>
        <v>10000</v>
      </c>
      <c r="L975" s="74">
        <f>L976</f>
        <v>10000</v>
      </c>
    </row>
    <row r="976" spans="1:12" ht="15">
      <c r="A976" s="107" t="s">
        <v>153</v>
      </c>
      <c r="B976" s="100" t="s">
        <v>425</v>
      </c>
      <c r="C976" s="100" t="s">
        <v>329</v>
      </c>
      <c r="D976" s="100" t="s">
        <v>147</v>
      </c>
      <c r="E976" s="100" t="s">
        <v>526</v>
      </c>
      <c r="F976" s="117">
        <v>500</v>
      </c>
      <c r="G976" s="100"/>
      <c r="H976" s="119">
        <f>H977</f>
        <v>11487.6</v>
      </c>
      <c r="I976" s="119">
        <f>I977</f>
        <v>20089</v>
      </c>
      <c r="J976" s="101">
        <f t="shared" si="70"/>
        <v>8601.4</v>
      </c>
      <c r="K976" s="119">
        <f>K977</f>
        <v>10000</v>
      </c>
      <c r="L976" s="119">
        <f>L977</f>
        <v>10000</v>
      </c>
    </row>
    <row r="977" spans="1:12" ht="15">
      <c r="A977" s="107" t="s">
        <v>127</v>
      </c>
      <c r="B977" s="100" t="s">
        <v>425</v>
      </c>
      <c r="C977" s="100" t="s">
        <v>329</v>
      </c>
      <c r="D977" s="100" t="s">
        <v>147</v>
      </c>
      <c r="E977" s="100" t="s">
        <v>526</v>
      </c>
      <c r="F977" s="117">
        <v>500</v>
      </c>
      <c r="G977" s="100" t="s">
        <v>128</v>
      </c>
      <c r="H977" s="119">
        <f>'Пр. 9'!I707</f>
        <v>11487.6</v>
      </c>
      <c r="I977" s="119">
        <f>'Пр. 9'!J707</f>
        <v>20089</v>
      </c>
      <c r="J977" s="101">
        <f t="shared" si="70"/>
        <v>8601.4</v>
      </c>
      <c r="K977" s="119">
        <f>'Пр. 9'!L707</f>
        <v>10000</v>
      </c>
      <c r="L977" s="119">
        <f>'Пр. 9'!M707</f>
        <v>10000</v>
      </c>
    </row>
    <row r="978" spans="1:12" ht="30" hidden="1">
      <c r="A978" s="22" t="s">
        <v>630</v>
      </c>
      <c r="B978" s="99" t="s">
        <v>425</v>
      </c>
      <c r="C978" s="99" t="s">
        <v>329</v>
      </c>
      <c r="D978" s="99" t="s">
        <v>147</v>
      </c>
      <c r="E978" s="99" t="s">
        <v>629</v>
      </c>
      <c r="F978" s="99"/>
      <c r="G978" s="100"/>
      <c r="H978" s="134">
        <f>H979</f>
        <v>0</v>
      </c>
      <c r="I978" s="134">
        <f>I979</f>
        <v>0</v>
      </c>
      <c r="J978" s="101">
        <f t="shared" si="70"/>
        <v>0</v>
      </c>
      <c r="K978" s="134">
        <f>K979</f>
        <v>0</v>
      </c>
      <c r="L978" s="134">
        <f>L979</f>
        <v>0</v>
      </c>
    </row>
    <row r="979" spans="1:12" ht="15" hidden="1">
      <c r="A979" s="103" t="s">
        <v>690</v>
      </c>
      <c r="B979" s="99" t="s">
        <v>425</v>
      </c>
      <c r="C979" s="99" t="s">
        <v>329</v>
      </c>
      <c r="D979" s="99" t="s">
        <v>147</v>
      </c>
      <c r="E979" s="99" t="s">
        <v>629</v>
      </c>
      <c r="F979" s="99" t="s">
        <v>691</v>
      </c>
      <c r="G979" s="100"/>
      <c r="H979" s="119">
        <f>H980</f>
        <v>0</v>
      </c>
      <c r="I979" s="119">
        <f>I980</f>
        <v>0</v>
      </c>
      <c r="J979" s="101">
        <f t="shared" si="70"/>
        <v>0</v>
      </c>
      <c r="K979" s="119">
        <f>K980</f>
        <v>0</v>
      </c>
      <c r="L979" s="119">
        <f>L980</f>
        <v>0</v>
      </c>
    </row>
    <row r="980" spans="1:12" ht="15" hidden="1">
      <c r="A980" s="88" t="s">
        <v>67</v>
      </c>
      <c r="B980" s="99" t="s">
        <v>425</v>
      </c>
      <c r="C980" s="99" t="s">
        <v>329</v>
      </c>
      <c r="D980" s="99" t="s">
        <v>147</v>
      </c>
      <c r="E980" s="99" t="s">
        <v>629</v>
      </c>
      <c r="F980" s="99" t="s">
        <v>691</v>
      </c>
      <c r="G980" s="100" t="s">
        <v>68</v>
      </c>
      <c r="H980" s="119">
        <f>'Пр. 9'!I657</f>
        <v>0</v>
      </c>
      <c r="I980" s="119">
        <f>'Пр. 9'!J657</f>
        <v>0</v>
      </c>
      <c r="J980" s="101">
        <f t="shared" si="70"/>
        <v>0</v>
      </c>
      <c r="K980" s="119">
        <f>'Пр. 9'!L657</f>
        <v>0</v>
      </c>
      <c r="L980" s="119">
        <f>'Пр. 9'!M657</f>
        <v>0</v>
      </c>
    </row>
    <row r="981" spans="1:12" ht="30">
      <c r="A981" s="115" t="s">
        <v>748</v>
      </c>
      <c r="B981" s="100" t="s">
        <v>425</v>
      </c>
      <c r="C981" s="100" t="s">
        <v>329</v>
      </c>
      <c r="D981" s="100" t="s">
        <v>147</v>
      </c>
      <c r="E981" s="100" t="s">
        <v>746</v>
      </c>
      <c r="F981" s="117"/>
      <c r="G981" s="100"/>
      <c r="H981" s="119">
        <f>H982</f>
        <v>500</v>
      </c>
      <c r="I981" s="119">
        <f>I982</f>
        <v>500</v>
      </c>
      <c r="J981" s="101">
        <f t="shared" si="70"/>
        <v>0</v>
      </c>
      <c r="K981" s="119">
        <f>K982</f>
        <v>500</v>
      </c>
      <c r="L981" s="119">
        <f>L982</f>
        <v>500</v>
      </c>
    </row>
    <row r="982" spans="1:12" ht="15">
      <c r="A982" s="115" t="s">
        <v>692</v>
      </c>
      <c r="B982" s="100" t="s">
        <v>425</v>
      </c>
      <c r="C982" s="100" t="s">
        <v>329</v>
      </c>
      <c r="D982" s="100" t="s">
        <v>147</v>
      </c>
      <c r="E982" s="100" t="s">
        <v>746</v>
      </c>
      <c r="F982" s="117">
        <v>500</v>
      </c>
      <c r="G982" s="100"/>
      <c r="H982" s="119">
        <f>H983</f>
        <v>500</v>
      </c>
      <c r="I982" s="119">
        <f>I983</f>
        <v>500</v>
      </c>
      <c r="J982" s="101">
        <f t="shared" si="70"/>
        <v>0</v>
      </c>
      <c r="K982" s="119">
        <f>K983</f>
        <v>500</v>
      </c>
      <c r="L982" s="119">
        <f>L983</f>
        <v>500</v>
      </c>
    </row>
    <row r="983" spans="1:12" ht="15">
      <c r="A983" s="107" t="s">
        <v>127</v>
      </c>
      <c r="B983" s="100" t="s">
        <v>425</v>
      </c>
      <c r="C983" s="100" t="s">
        <v>329</v>
      </c>
      <c r="D983" s="100" t="s">
        <v>147</v>
      </c>
      <c r="E983" s="100" t="s">
        <v>746</v>
      </c>
      <c r="F983" s="117">
        <v>500</v>
      </c>
      <c r="G983" s="100" t="s">
        <v>128</v>
      </c>
      <c r="H983" s="119">
        <f>'Пр. 9'!I709</f>
        <v>500</v>
      </c>
      <c r="I983" s="119">
        <f>'Пр. 9'!J709</f>
        <v>500</v>
      </c>
      <c r="J983" s="101">
        <f t="shared" si="70"/>
        <v>0</v>
      </c>
      <c r="K983" s="119">
        <f>'Пр. 9'!L709</f>
        <v>500</v>
      </c>
      <c r="L983" s="119">
        <f>'Пр. 9'!M709</f>
        <v>500</v>
      </c>
    </row>
    <row r="984" spans="1:12" ht="62.25" customHeight="1">
      <c r="A984" s="115" t="s">
        <v>994</v>
      </c>
      <c r="B984" s="100" t="s">
        <v>425</v>
      </c>
      <c r="C984" s="100" t="s">
        <v>329</v>
      </c>
      <c r="D984" s="100" t="s">
        <v>147</v>
      </c>
      <c r="E984" s="100" t="s">
        <v>993</v>
      </c>
      <c r="F984" s="117"/>
      <c r="G984" s="100"/>
      <c r="H984" s="119">
        <f>H985</f>
        <v>597.6000000000004</v>
      </c>
      <c r="I984" s="119">
        <f>I985</f>
        <v>597.6000000000004</v>
      </c>
      <c r="J984" s="101">
        <f t="shared" si="70"/>
        <v>0</v>
      </c>
      <c r="K984" s="119">
        <f>K985</f>
        <v>0</v>
      </c>
      <c r="L984" s="119">
        <f>L985</f>
        <v>0</v>
      </c>
    </row>
    <row r="985" spans="1:12" ht="16.5" customHeight="1">
      <c r="A985" s="115" t="s">
        <v>692</v>
      </c>
      <c r="B985" s="100" t="s">
        <v>425</v>
      </c>
      <c r="C985" s="100" t="s">
        <v>329</v>
      </c>
      <c r="D985" s="100" t="s">
        <v>147</v>
      </c>
      <c r="E985" s="100" t="s">
        <v>993</v>
      </c>
      <c r="F985" s="117">
        <v>500</v>
      </c>
      <c r="G985" s="100"/>
      <c r="H985" s="119">
        <f>H986</f>
        <v>597.6000000000004</v>
      </c>
      <c r="I985" s="119">
        <f>I986</f>
        <v>597.6000000000004</v>
      </c>
      <c r="J985" s="101">
        <f t="shared" si="70"/>
        <v>0</v>
      </c>
      <c r="K985" s="119">
        <f>K986</f>
        <v>0</v>
      </c>
      <c r="L985" s="119"/>
    </row>
    <row r="986" spans="1:12" ht="24.75" customHeight="1">
      <c r="A986" s="107" t="s">
        <v>127</v>
      </c>
      <c r="B986" s="100" t="s">
        <v>425</v>
      </c>
      <c r="C986" s="100" t="s">
        <v>329</v>
      </c>
      <c r="D986" s="100" t="s">
        <v>147</v>
      </c>
      <c r="E986" s="100" t="s">
        <v>993</v>
      </c>
      <c r="F986" s="117">
        <v>500</v>
      </c>
      <c r="G986" s="100" t="s">
        <v>76</v>
      </c>
      <c r="H986" s="119">
        <f>'Пр. 9'!I362</f>
        <v>597.6000000000004</v>
      </c>
      <c r="I986" s="119">
        <f>'Пр. 9'!J362</f>
        <v>597.6000000000004</v>
      </c>
      <c r="J986" s="101">
        <f t="shared" si="70"/>
        <v>0</v>
      </c>
      <c r="K986" s="119">
        <f>'Пр. 9'!L362</f>
        <v>0</v>
      </c>
      <c r="L986" s="119">
        <f>'Пр. 9'!M362</f>
        <v>0</v>
      </c>
    </row>
    <row r="987" spans="1:12" ht="66" customHeight="1">
      <c r="A987" s="115" t="s">
        <v>1061</v>
      </c>
      <c r="B987" s="100" t="s">
        <v>425</v>
      </c>
      <c r="C987" s="100" t="s">
        <v>329</v>
      </c>
      <c r="D987" s="100" t="s">
        <v>147</v>
      </c>
      <c r="E987" s="100" t="s">
        <v>1060</v>
      </c>
      <c r="F987" s="117"/>
      <c r="G987" s="100"/>
      <c r="H987" s="119">
        <f aca="true" t="shared" si="71" ref="H987:L988">H988</f>
        <v>4917.4</v>
      </c>
      <c r="I987" s="119">
        <f t="shared" si="71"/>
        <v>4917.4</v>
      </c>
      <c r="J987" s="101">
        <f t="shared" si="70"/>
        <v>0</v>
      </c>
      <c r="K987" s="119">
        <f t="shared" si="71"/>
        <v>0</v>
      </c>
      <c r="L987" s="119">
        <f t="shared" si="71"/>
        <v>0</v>
      </c>
    </row>
    <row r="988" spans="1:12" ht="19.5" customHeight="1">
      <c r="A988" s="107" t="s">
        <v>127</v>
      </c>
      <c r="B988" s="100" t="s">
        <v>425</v>
      </c>
      <c r="C988" s="100" t="s">
        <v>329</v>
      </c>
      <c r="D988" s="100" t="s">
        <v>147</v>
      </c>
      <c r="E988" s="100" t="s">
        <v>1060</v>
      </c>
      <c r="F988" s="117">
        <v>500</v>
      </c>
      <c r="G988" s="100"/>
      <c r="H988" s="119">
        <f t="shared" si="71"/>
        <v>4917.4</v>
      </c>
      <c r="I988" s="119">
        <f t="shared" si="71"/>
        <v>4917.4</v>
      </c>
      <c r="J988" s="101">
        <f t="shared" si="70"/>
        <v>0</v>
      </c>
      <c r="K988" s="119">
        <f t="shared" si="71"/>
        <v>0</v>
      </c>
      <c r="L988" s="119">
        <f t="shared" si="71"/>
        <v>0</v>
      </c>
    </row>
    <row r="989" spans="1:12" ht="19.5" customHeight="1">
      <c r="A989" s="107" t="s">
        <v>127</v>
      </c>
      <c r="B989" s="100" t="s">
        <v>425</v>
      </c>
      <c r="C989" s="100" t="s">
        <v>329</v>
      </c>
      <c r="D989" s="100" t="s">
        <v>147</v>
      </c>
      <c r="E989" s="100" t="s">
        <v>1060</v>
      </c>
      <c r="F989" s="117">
        <v>500</v>
      </c>
      <c r="G989" s="100" t="s">
        <v>128</v>
      </c>
      <c r="H989" s="119">
        <f>'Пр. 9'!I711</f>
        <v>4917.4</v>
      </c>
      <c r="I989" s="119">
        <f>'Пр. 9'!J711</f>
        <v>4917.4</v>
      </c>
      <c r="J989" s="101">
        <f t="shared" si="70"/>
        <v>0</v>
      </c>
      <c r="K989" s="119">
        <f>'Пр. 9'!L711</f>
        <v>0</v>
      </c>
      <c r="L989" s="119">
        <f>'Пр. 9'!M711</f>
        <v>0</v>
      </c>
    </row>
    <row r="990" spans="1:12" ht="51" customHeight="1">
      <c r="A990" s="111" t="s">
        <v>739</v>
      </c>
      <c r="B990" s="99" t="s">
        <v>425</v>
      </c>
      <c r="C990" s="99" t="s">
        <v>329</v>
      </c>
      <c r="D990" s="99" t="s">
        <v>147</v>
      </c>
      <c r="E990" s="99" t="s">
        <v>738</v>
      </c>
      <c r="F990" s="99"/>
      <c r="G990" s="100"/>
      <c r="H990" s="74">
        <f>H991</f>
        <v>1745.4</v>
      </c>
      <c r="I990" s="74">
        <f>I991</f>
        <v>21784.800000000003</v>
      </c>
      <c r="J990" s="101">
        <f t="shared" si="70"/>
        <v>20039.4</v>
      </c>
      <c r="K990" s="74">
        <f>K991+K993</f>
        <v>0</v>
      </c>
      <c r="L990" s="74">
        <f>L991+L993</f>
        <v>0</v>
      </c>
    </row>
    <row r="991" spans="1:12" ht="23.25" customHeight="1">
      <c r="A991" s="112" t="s">
        <v>690</v>
      </c>
      <c r="B991" s="99" t="s">
        <v>425</v>
      </c>
      <c r="C991" s="99" t="s">
        <v>329</v>
      </c>
      <c r="D991" s="99" t="s">
        <v>147</v>
      </c>
      <c r="E991" s="99" t="s">
        <v>738</v>
      </c>
      <c r="F991" s="99" t="s">
        <v>691</v>
      </c>
      <c r="G991" s="100"/>
      <c r="H991" s="74">
        <f>H992+H993+H994+H995</f>
        <v>1745.4</v>
      </c>
      <c r="I991" s="74">
        <f>I992+I993+I994+I995</f>
        <v>21784.800000000003</v>
      </c>
      <c r="J991" s="101">
        <f t="shared" si="70"/>
        <v>20039.4</v>
      </c>
      <c r="K991" s="74">
        <f>K992+K993+K994+K995</f>
        <v>0</v>
      </c>
      <c r="L991" s="74">
        <f>L992+L993+L994+L995</f>
        <v>0</v>
      </c>
    </row>
    <row r="992" spans="1:12" ht="39" customHeight="1">
      <c r="A992" s="112" t="s">
        <v>55</v>
      </c>
      <c r="B992" s="99" t="s">
        <v>425</v>
      </c>
      <c r="C992" s="99" t="s">
        <v>329</v>
      </c>
      <c r="D992" s="99" t="s">
        <v>147</v>
      </c>
      <c r="E992" s="99" t="s">
        <v>738</v>
      </c>
      <c r="F992" s="99" t="s">
        <v>691</v>
      </c>
      <c r="G992" s="100" t="s">
        <v>56</v>
      </c>
      <c r="H992" s="74">
        <f>'Пр. 9'!I640+'Пр. 9'!I177</f>
        <v>245.4</v>
      </c>
      <c r="I992" s="74">
        <f>'Пр. 9'!J640+'Пр. 9'!J177</f>
        <v>245.4</v>
      </c>
      <c r="J992" s="101">
        <f t="shared" si="70"/>
        <v>0</v>
      </c>
      <c r="K992" s="74">
        <f>'Пр. 9'!L640+'Пр. 9'!L177</f>
        <v>0</v>
      </c>
      <c r="L992" s="74">
        <f>'Пр. 9'!M640+'Пр. 9'!M177</f>
        <v>0</v>
      </c>
    </row>
    <row r="993" spans="1:12" ht="23.25" customHeight="1" hidden="1">
      <c r="A993" s="69" t="s">
        <v>63</v>
      </c>
      <c r="B993" s="99" t="s">
        <v>425</v>
      </c>
      <c r="C993" s="99" t="s">
        <v>329</v>
      </c>
      <c r="D993" s="99" t="s">
        <v>147</v>
      </c>
      <c r="E993" s="99" t="s">
        <v>738</v>
      </c>
      <c r="F993" s="99" t="s">
        <v>691</v>
      </c>
      <c r="G993" s="100" t="s">
        <v>64</v>
      </c>
      <c r="H993" s="74">
        <f>'Пр. 9'!I649</f>
        <v>0</v>
      </c>
      <c r="I993" s="74">
        <f>'Пр. 9'!J649</f>
        <v>0</v>
      </c>
      <c r="J993" s="101">
        <f t="shared" si="70"/>
        <v>0</v>
      </c>
      <c r="K993" s="74">
        <f>'Пр. 9'!L649</f>
        <v>0</v>
      </c>
      <c r="L993" s="74">
        <f>'Пр. 9'!M649</f>
        <v>0</v>
      </c>
    </row>
    <row r="994" spans="1:12" ht="21.75" customHeight="1">
      <c r="A994" s="69" t="s">
        <v>73</v>
      </c>
      <c r="B994" s="99" t="s">
        <v>425</v>
      </c>
      <c r="C994" s="99" t="s">
        <v>329</v>
      </c>
      <c r="D994" s="99" t="s">
        <v>147</v>
      </c>
      <c r="E994" s="99" t="s">
        <v>738</v>
      </c>
      <c r="F994" s="99" t="s">
        <v>691</v>
      </c>
      <c r="G994" s="100" t="s">
        <v>74</v>
      </c>
      <c r="H994" s="74">
        <f>'Пр. 9'!I664+'Пр. 9'!I347</f>
        <v>1500</v>
      </c>
      <c r="I994" s="74">
        <f>'Пр. 9'!J664+'Пр. 9'!J347</f>
        <v>21539.4</v>
      </c>
      <c r="J994" s="101">
        <f t="shared" si="70"/>
        <v>20039.4</v>
      </c>
      <c r="K994" s="74">
        <f>'Пр. 9'!L664+'Пр. 9'!L347</f>
        <v>0</v>
      </c>
      <c r="L994" s="74">
        <f>'Пр. 9'!M664+'Пр. 9'!M347</f>
        <v>0</v>
      </c>
    </row>
    <row r="995" spans="1:12" ht="25.5" customHeight="1" hidden="1">
      <c r="A995" s="69" t="s">
        <v>75</v>
      </c>
      <c r="B995" s="99" t="s">
        <v>425</v>
      </c>
      <c r="C995" s="99" t="s">
        <v>329</v>
      </c>
      <c r="D995" s="99" t="s">
        <v>147</v>
      </c>
      <c r="E995" s="99" t="s">
        <v>738</v>
      </c>
      <c r="F995" s="99" t="s">
        <v>691</v>
      </c>
      <c r="G995" s="100" t="s">
        <v>76</v>
      </c>
      <c r="H995" s="74">
        <f>'Пр. 9'!I670</f>
        <v>0</v>
      </c>
      <c r="I995" s="74">
        <f>'Пр. 9'!J670</f>
        <v>0</v>
      </c>
      <c r="J995" s="101">
        <f t="shared" si="70"/>
        <v>0</v>
      </c>
      <c r="K995" s="74">
        <f>'Пр. 9'!L670</f>
        <v>0</v>
      </c>
      <c r="L995" s="74">
        <f>'Пр. 9'!M670</f>
        <v>0</v>
      </c>
    </row>
    <row r="996" spans="1:12" ht="27.75" customHeight="1" hidden="1">
      <c r="A996" s="112" t="s">
        <v>191</v>
      </c>
      <c r="B996" s="99" t="s">
        <v>425</v>
      </c>
      <c r="C996" s="99" t="s">
        <v>329</v>
      </c>
      <c r="D996" s="99" t="s">
        <v>147</v>
      </c>
      <c r="E996" s="99" t="s">
        <v>747</v>
      </c>
      <c r="F996" s="99"/>
      <c r="G996" s="100"/>
      <c r="H996" s="74">
        <f>H997</f>
        <v>0</v>
      </c>
      <c r="I996" s="74">
        <f>I997</f>
        <v>0</v>
      </c>
      <c r="J996" s="101">
        <f t="shared" si="70"/>
        <v>0</v>
      </c>
      <c r="K996" s="74">
        <f>K997</f>
        <v>0</v>
      </c>
      <c r="L996" s="74">
        <f>L997</f>
        <v>0</v>
      </c>
    </row>
    <row r="997" spans="1:12" ht="27" customHeight="1" hidden="1">
      <c r="A997" s="112" t="s">
        <v>690</v>
      </c>
      <c r="B997" s="99" t="s">
        <v>425</v>
      </c>
      <c r="C997" s="99" t="s">
        <v>329</v>
      </c>
      <c r="D997" s="99" t="s">
        <v>147</v>
      </c>
      <c r="E997" s="99" t="s">
        <v>747</v>
      </c>
      <c r="F997" s="99" t="s">
        <v>691</v>
      </c>
      <c r="G997" s="100"/>
      <c r="H997" s="74">
        <f>H998</f>
        <v>0</v>
      </c>
      <c r="I997" s="74">
        <f>I998</f>
        <v>0</v>
      </c>
      <c r="J997" s="101">
        <f t="shared" si="70"/>
        <v>0</v>
      </c>
      <c r="K997" s="74">
        <f>K998</f>
        <v>0</v>
      </c>
      <c r="L997" s="74">
        <f>L998</f>
        <v>0</v>
      </c>
    </row>
    <row r="998" spans="1:12" ht="30.75" customHeight="1" hidden="1">
      <c r="A998" s="112" t="s">
        <v>99</v>
      </c>
      <c r="B998" s="99" t="s">
        <v>425</v>
      </c>
      <c r="C998" s="99" t="s">
        <v>329</v>
      </c>
      <c r="D998" s="99" t="s">
        <v>147</v>
      </c>
      <c r="E998" s="99" t="s">
        <v>747</v>
      </c>
      <c r="F998" s="99" t="s">
        <v>691</v>
      </c>
      <c r="G998" s="100" t="s">
        <v>100</v>
      </c>
      <c r="H998" s="74">
        <f>'Пр. 9'!I683</f>
        <v>0</v>
      </c>
      <c r="I998" s="74">
        <f>'Пр. 9'!J683</f>
        <v>0</v>
      </c>
      <c r="J998" s="101">
        <f t="shared" si="70"/>
        <v>0</v>
      </c>
      <c r="K998" s="74">
        <f>'Пр. 9'!L683</f>
        <v>0</v>
      </c>
      <c r="L998" s="74">
        <f>'Пр. 9'!M683</f>
        <v>0</v>
      </c>
    </row>
    <row r="999" spans="1:12" ht="24.75" customHeight="1" hidden="1">
      <c r="A999" s="109" t="s">
        <v>995</v>
      </c>
      <c r="B999" s="100" t="s">
        <v>425</v>
      </c>
      <c r="C999" s="100" t="s">
        <v>329</v>
      </c>
      <c r="D999" s="100" t="s">
        <v>147</v>
      </c>
      <c r="E999" s="100" t="s">
        <v>987</v>
      </c>
      <c r="F999" s="117"/>
      <c r="G999" s="295"/>
      <c r="H999" s="296">
        <f>H1000+H1003</f>
        <v>0</v>
      </c>
      <c r="I999" s="296">
        <f>I1000+I1003</f>
        <v>0</v>
      </c>
      <c r="J999" s="101">
        <f t="shared" si="70"/>
        <v>0</v>
      </c>
      <c r="K999" s="296">
        <f>K1000+K1003</f>
        <v>0</v>
      </c>
      <c r="L999" s="296">
        <f>L1000+L1003</f>
        <v>0</v>
      </c>
    </row>
    <row r="1000" spans="1:12" ht="32.25" customHeight="1" hidden="1">
      <c r="A1000" s="111" t="s">
        <v>683</v>
      </c>
      <c r="B1000" s="100" t="s">
        <v>425</v>
      </c>
      <c r="C1000" s="100" t="s">
        <v>329</v>
      </c>
      <c r="D1000" s="100" t="s">
        <v>147</v>
      </c>
      <c r="E1000" s="100" t="s">
        <v>987</v>
      </c>
      <c r="F1000" s="117">
        <v>200</v>
      </c>
      <c r="G1000" s="295"/>
      <c r="H1000" s="296">
        <f>H1001+H1002</f>
        <v>0</v>
      </c>
      <c r="I1000" s="296">
        <f>I1001+I1002</f>
        <v>0</v>
      </c>
      <c r="J1000" s="101">
        <f t="shared" si="70"/>
        <v>0</v>
      </c>
      <c r="K1000" s="296">
        <f>K1001+K1002</f>
        <v>0</v>
      </c>
      <c r="L1000" s="296">
        <f>L1001+L1002</f>
        <v>0</v>
      </c>
    </row>
    <row r="1001" spans="1:12" ht="25.5" customHeight="1" hidden="1">
      <c r="A1001" s="102" t="s">
        <v>51</v>
      </c>
      <c r="B1001" s="100" t="s">
        <v>425</v>
      </c>
      <c r="C1001" s="100" t="s">
        <v>329</v>
      </c>
      <c r="D1001" s="100" t="s">
        <v>147</v>
      </c>
      <c r="E1001" s="100" t="s">
        <v>987</v>
      </c>
      <c r="F1001" s="117">
        <v>200</v>
      </c>
      <c r="G1001" s="100" t="s">
        <v>52</v>
      </c>
      <c r="H1001" s="74">
        <f>'Пр. 9'!I136</f>
        <v>0</v>
      </c>
      <c r="I1001" s="74">
        <f>'Пр. 9'!J136</f>
        <v>0</v>
      </c>
      <c r="J1001" s="101">
        <f t="shared" si="70"/>
        <v>0</v>
      </c>
      <c r="K1001" s="74">
        <f>'Пр. 9'!L136</f>
        <v>0</v>
      </c>
      <c r="L1001" s="74">
        <f>'Пр. 9'!M136</f>
        <v>0</v>
      </c>
    </row>
    <row r="1002" spans="1:12" ht="30.75" customHeight="1" hidden="1">
      <c r="A1002" s="88" t="s">
        <v>95</v>
      </c>
      <c r="B1002" s="100" t="s">
        <v>425</v>
      </c>
      <c r="C1002" s="100" t="s">
        <v>329</v>
      </c>
      <c r="D1002" s="100" t="s">
        <v>147</v>
      </c>
      <c r="E1002" s="100" t="s">
        <v>987</v>
      </c>
      <c r="F1002" s="117">
        <v>200</v>
      </c>
      <c r="G1002" s="100" t="s">
        <v>96</v>
      </c>
      <c r="H1002" s="74">
        <f>'Пр. 9'!I1050</f>
        <v>0</v>
      </c>
      <c r="I1002" s="74">
        <f>'Пр. 9'!J1050</f>
        <v>0</v>
      </c>
      <c r="J1002" s="101">
        <f t="shared" si="70"/>
        <v>0</v>
      </c>
      <c r="K1002" s="74">
        <f>'Пр. 9'!L1050</f>
        <v>0</v>
      </c>
      <c r="L1002" s="74">
        <f>'Пр. 9'!M1050</f>
        <v>0</v>
      </c>
    </row>
    <row r="1003" spans="1:12" ht="35.25" customHeight="1" hidden="1">
      <c r="A1003" s="112" t="s">
        <v>690</v>
      </c>
      <c r="B1003" s="100" t="s">
        <v>425</v>
      </c>
      <c r="C1003" s="100" t="s">
        <v>329</v>
      </c>
      <c r="D1003" s="100" t="s">
        <v>147</v>
      </c>
      <c r="E1003" s="100" t="s">
        <v>987</v>
      </c>
      <c r="F1003" s="117">
        <v>500</v>
      </c>
      <c r="G1003" s="295"/>
      <c r="H1003" s="74">
        <f>H1004</f>
        <v>0</v>
      </c>
      <c r="I1003" s="74">
        <f>I1004</f>
        <v>0</v>
      </c>
      <c r="J1003" s="101">
        <f t="shared" si="70"/>
        <v>0</v>
      </c>
      <c r="K1003" s="74">
        <f>K1004</f>
        <v>0</v>
      </c>
      <c r="L1003" s="74">
        <f>L1004</f>
        <v>0</v>
      </c>
    </row>
    <row r="1004" spans="1:12" ht="33.75" customHeight="1" hidden="1">
      <c r="A1004" s="112" t="s">
        <v>403</v>
      </c>
      <c r="B1004" s="100" t="s">
        <v>425</v>
      </c>
      <c r="C1004" s="100" t="s">
        <v>329</v>
      </c>
      <c r="D1004" s="100" t="s">
        <v>147</v>
      </c>
      <c r="E1004" s="100" t="s">
        <v>987</v>
      </c>
      <c r="F1004" s="117">
        <v>500</v>
      </c>
      <c r="G1004" s="100" t="s">
        <v>44</v>
      </c>
      <c r="H1004" s="74">
        <f>'Пр. 9'!I584</f>
        <v>0</v>
      </c>
      <c r="I1004" s="74">
        <f>'Пр. 9'!J584</f>
        <v>0</v>
      </c>
      <c r="J1004" s="101">
        <f t="shared" si="70"/>
        <v>0</v>
      </c>
      <c r="K1004" s="74">
        <f>'Пр. 9'!L584</f>
        <v>0</v>
      </c>
      <c r="L1004" s="74">
        <f>'Пр. 9'!M584</f>
        <v>0</v>
      </c>
    </row>
    <row r="1005" spans="1:12" ht="33" customHeight="1">
      <c r="A1005" s="102" t="s">
        <v>415</v>
      </c>
      <c r="B1005" s="100" t="s">
        <v>425</v>
      </c>
      <c r="C1005" s="117">
        <v>9</v>
      </c>
      <c r="D1005" s="100" t="s">
        <v>147</v>
      </c>
      <c r="E1005" s="100" t="s">
        <v>416</v>
      </c>
      <c r="F1005" s="117"/>
      <c r="G1005" s="100"/>
      <c r="H1005" s="74">
        <f>H1006</f>
        <v>2441</v>
      </c>
      <c r="I1005" s="74">
        <f>I1006</f>
        <v>2598.4</v>
      </c>
      <c r="J1005" s="101">
        <f t="shared" si="70"/>
        <v>157.4000000000001</v>
      </c>
      <c r="K1005" s="74">
        <f>K1006</f>
        <v>2538.8</v>
      </c>
      <c r="L1005" s="74">
        <f>L1006</f>
        <v>2640.3</v>
      </c>
    </row>
    <row r="1006" spans="1:12" ht="35.25" customHeight="1">
      <c r="A1006" s="102" t="s">
        <v>683</v>
      </c>
      <c r="B1006" s="100" t="s">
        <v>425</v>
      </c>
      <c r="C1006" s="117">
        <v>9</v>
      </c>
      <c r="D1006" s="100" t="s">
        <v>147</v>
      </c>
      <c r="E1006" s="100" t="s">
        <v>416</v>
      </c>
      <c r="F1006" s="117">
        <v>200</v>
      </c>
      <c r="G1006" s="100"/>
      <c r="H1006" s="74">
        <f>H1007</f>
        <v>2441</v>
      </c>
      <c r="I1006" s="74">
        <f>I1007</f>
        <v>2598.4</v>
      </c>
      <c r="J1006" s="101">
        <f t="shared" si="70"/>
        <v>157.4000000000001</v>
      </c>
      <c r="K1006" s="74">
        <f>K1007</f>
        <v>2538.8</v>
      </c>
      <c r="L1006" s="74">
        <f>L1007</f>
        <v>2640.3</v>
      </c>
    </row>
    <row r="1007" spans="1:12" ht="18" customHeight="1">
      <c r="A1007" s="102" t="s">
        <v>463</v>
      </c>
      <c r="B1007" s="100" t="s">
        <v>425</v>
      </c>
      <c r="C1007" s="117">
        <v>9</v>
      </c>
      <c r="D1007" s="100" t="s">
        <v>147</v>
      </c>
      <c r="E1007" s="100" t="s">
        <v>416</v>
      </c>
      <c r="F1007" s="117">
        <v>200</v>
      </c>
      <c r="G1007" s="100" t="s">
        <v>78</v>
      </c>
      <c r="H1007" s="74">
        <f>'Пр. 9'!I373</f>
        <v>2441</v>
      </c>
      <c r="I1007" s="74">
        <f>'Пр. 9'!J373</f>
        <v>2598.4</v>
      </c>
      <c r="J1007" s="101">
        <f t="shared" si="70"/>
        <v>157.4000000000001</v>
      </c>
      <c r="K1007" s="74">
        <f>'Пр. 9'!L373</f>
        <v>2538.8</v>
      </c>
      <c r="L1007" s="74">
        <f>'Пр. 9'!M373</f>
        <v>2640.3</v>
      </c>
    </row>
    <row r="1008" spans="1:12" ht="35.25" customHeight="1" hidden="1">
      <c r="A1008" s="102" t="s">
        <v>464</v>
      </c>
      <c r="B1008" s="100" t="s">
        <v>425</v>
      </c>
      <c r="C1008" s="117">
        <v>9</v>
      </c>
      <c r="D1008" s="100" t="s">
        <v>147</v>
      </c>
      <c r="E1008" s="100" t="s">
        <v>465</v>
      </c>
      <c r="F1008" s="99"/>
      <c r="G1008" s="100"/>
      <c r="H1008" s="74"/>
      <c r="I1008" s="74">
        <f>I1009</f>
        <v>0</v>
      </c>
      <c r="J1008" s="96">
        <f t="shared" si="70"/>
        <v>0</v>
      </c>
      <c r="K1008" s="74">
        <f>K1009</f>
        <v>0</v>
      </c>
      <c r="L1008" s="74">
        <f>L1009</f>
        <v>0</v>
      </c>
    </row>
    <row r="1009" spans="1:12" ht="27.75" customHeight="1" hidden="1">
      <c r="A1009" s="103" t="s">
        <v>690</v>
      </c>
      <c r="B1009" s="100" t="s">
        <v>425</v>
      </c>
      <c r="C1009" s="117">
        <v>9</v>
      </c>
      <c r="D1009" s="100" t="s">
        <v>147</v>
      </c>
      <c r="E1009" s="100" t="s">
        <v>465</v>
      </c>
      <c r="F1009" s="99" t="s">
        <v>691</v>
      </c>
      <c r="G1009" s="100"/>
      <c r="H1009" s="74"/>
      <c r="I1009" s="74">
        <f>I1010+I1011+I1012+I1013+I1014+I1015</f>
        <v>0</v>
      </c>
      <c r="J1009" s="96">
        <f t="shared" si="70"/>
        <v>0</v>
      </c>
      <c r="K1009" s="74">
        <f>K1010+K1011+K1012+K1013+K1014+K1015</f>
        <v>0</v>
      </c>
      <c r="L1009" s="74">
        <f>L1010+L1011+L1012+L1013+L1014+L1015</f>
        <v>0</v>
      </c>
    </row>
    <row r="1010" spans="1:12" ht="51.75" customHeight="1" hidden="1">
      <c r="A1010" s="103" t="s">
        <v>403</v>
      </c>
      <c r="B1010" s="100" t="s">
        <v>425</v>
      </c>
      <c r="C1010" s="117">
        <v>9</v>
      </c>
      <c r="D1010" s="100" t="s">
        <v>147</v>
      </c>
      <c r="E1010" s="100" t="s">
        <v>465</v>
      </c>
      <c r="F1010" s="99" t="s">
        <v>691</v>
      </c>
      <c r="G1010" s="100" t="s">
        <v>44</v>
      </c>
      <c r="H1010" s="74"/>
      <c r="I1010" s="74">
        <f>'Пр. 9'!J586</f>
        <v>0</v>
      </c>
      <c r="J1010" s="96">
        <f t="shared" si="70"/>
        <v>0</v>
      </c>
      <c r="K1010" s="74">
        <f>'Пр. 9'!L586</f>
        <v>0</v>
      </c>
      <c r="L1010" s="74">
        <f>'Пр. 9'!M586</f>
        <v>0</v>
      </c>
    </row>
    <row r="1011" spans="1:12" ht="24" customHeight="1" hidden="1">
      <c r="A1011" s="102" t="s">
        <v>51</v>
      </c>
      <c r="B1011" s="100" t="s">
        <v>425</v>
      </c>
      <c r="C1011" s="117">
        <v>9</v>
      </c>
      <c r="D1011" s="100" t="s">
        <v>147</v>
      </c>
      <c r="E1011" s="100" t="s">
        <v>465</v>
      </c>
      <c r="F1011" s="99" t="s">
        <v>691</v>
      </c>
      <c r="G1011" s="100" t="s">
        <v>52</v>
      </c>
      <c r="H1011" s="74"/>
      <c r="I1011" s="74">
        <f>'Пр. 9'!J631</f>
        <v>0</v>
      </c>
      <c r="J1011" s="96">
        <f t="shared" si="70"/>
        <v>0</v>
      </c>
      <c r="K1011" s="74">
        <f>'Пр. 9'!L631</f>
        <v>0</v>
      </c>
      <c r="L1011" s="74">
        <f>'Пр. 9'!M631</f>
        <v>0</v>
      </c>
    </row>
    <row r="1012" spans="1:12" ht="22.5" customHeight="1" hidden="1">
      <c r="A1012" s="135" t="s">
        <v>63</v>
      </c>
      <c r="B1012" s="100" t="s">
        <v>425</v>
      </c>
      <c r="C1012" s="117">
        <v>9</v>
      </c>
      <c r="D1012" s="100" t="s">
        <v>147</v>
      </c>
      <c r="E1012" s="100" t="s">
        <v>465</v>
      </c>
      <c r="F1012" s="99" t="s">
        <v>691</v>
      </c>
      <c r="G1012" s="100" t="s">
        <v>64</v>
      </c>
      <c r="H1012" s="74"/>
      <c r="I1012" s="74">
        <f>'Пр. 9'!J651</f>
        <v>0</v>
      </c>
      <c r="J1012" s="96">
        <f t="shared" si="70"/>
        <v>0</v>
      </c>
      <c r="K1012" s="74">
        <f>'Пр. 9'!L651</f>
        <v>0</v>
      </c>
      <c r="L1012" s="74">
        <f>'Пр. 9'!M651</f>
        <v>0</v>
      </c>
    </row>
    <row r="1013" spans="1:12" ht="23.25" customHeight="1" hidden="1">
      <c r="A1013" s="22" t="s">
        <v>75</v>
      </c>
      <c r="B1013" s="100" t="s">
        <v>425</v>
      </c>
      <c r="C1013" s="117">
        <v>9</v>
      </c>
      <c r="D1013" s="100" t="s">
        <v>147</v>
      </c>
      <c r="E1013" s="100" t="s">
        <v>465</v>
      </c>
      <c r="F1013" s="99" t="s">
        <v>691</v>
      </c>
      <c r="G1013" s="100" t="s">
        <v>76</v>
      </c>
      <c r="H1013" s="74"/>
      <c r="I1013" s="74">
        <f>'Пр. 9'!J672</f>
        <v>0</v>
      </c>
      <c r="J1013" s="96">
        <f t="shared" si="70"/>
        <v>0</v>
      </c>
      <c r="K1013" s="74">
        <f>'Пр. 9'!L672</f>
        <v>0</v>
      </c>
      <c r="L1013" s="74">
        <f>'Пр. 9'!M672</f>
        <v>0</v>
      </c>
    </row>
    <row r="1014" spans="1:12" ht="19.5" customHeight="1" hidden="1">
      <c r="A1014" s="22" t="s">
        <v>99</v>
      </c>
      <c r="B1014" s="100" t="s">
        <v>425</v>
      </c>
      <c r="C1014" s="117">
        <v>9</v>
      </c>
      <c r="D1014" s="100" t="s">
        <v>147</v>
      </c>
      <c r="E1014" s="100" t="s">
        <v>465</v>
      </c>
      <c r="F1014" s="99" t="s">
        <v>691</v>
      </c>
      <c r="G1014" s="100" t="s">
        <v>100</v>
      </c>
      <c r="H1014" s="74"/>
      <c r="I1014" s="74">
        <f>'Пр. 9'!J681</f>
        <v>0</v>
      </c>
      <c r="J1014" s="96">
        <f t="shared" si="70"/>
        <v>0</v>
      </c>
      <c r="K1014" s="74">
        <f>'Пр. 9'!L681</f>
        <v>0</v>
      </c>
      <c r="L1014" s="74">
        <f>'Пр. 9'!M681</f>
        <v>0</v>
      </c>
    </row>
    <row r="1015" spans="1:12" ht="20.25" customHeight="1" hidden="1">
      <c r="A1015" s="89" t="s">
        <v>127</v>
      </c>
      <c r="B1015" s="100" t="s">
        <v>425</v>
      </c>
      <c r="C1015" s="117">
        <v>9</v>
      </c>
      <c r="D1015" s="100" t="s">
        <v>147</v>
      </c>
      <c r="E1015" s="100" t="s">
        <v>465</v>
      </c>
      <c r="F1015" s="99" t="s">
        <v>691</v>
      </c>
      <c r="G1015" s="100" t="s">
        <v>128</v>
      </c>
      <c r="H1015" s="74"/>
      <c r="I1015" s="74">
        <f>'Пр. 9'!J713</f>
        <v>0</v>
      </c>
      <c r="J1015" s="96">
        <f t="shared" si="70"/>
        <v>0</v>
      </c>
      <c r="K1015" s="74">
        <f>'Пр. 9'!L713</f>
        <v>0</v>
      </c>
      <c r="L1015" s="74">
        <f>'Пр. 9'!M713</f>
        <v>0</v>
      </c>
    </row>
    <row r="1016" spans="1:12" ht="57" customHeight="1" hidden="1">
      <c r="A1016" s="102" t="s">
        <v>305</v>
      </c>
      <c r="B1016" s="100" t="s">
        <v>425</v>
      </c>
      <c r="C1016" s="117">
        <v>9</v>
      </c>
      <c r="D1016" s="100" t="s">
        <v>147</v>
      </c>
      <c r="E1016" s="99" t="s">
        <v>306</v>
      </c>
      <c r="F1016" s="99"/>
      <c r="G1016" s="100"/>
      <c r="H1016" s="74"/>
      <c r="I1016" s="74">
        <f>I1017</f>
        <v>0</v>
      </c>
      <c r="J1016" s="96">
        <f t="shared" si="70"/>
        <v>0</v>
      </c>
      <c r="K1016" s="74">
        <f>K1017</f>
        <v>0</v>
      </c>
      <c r="L1016" s="74">
        <f>L1017</f>
        <v>0</v>
      </c>
    </row>
    <row r="1017" spans="1:12" ht="19.5" customHeight="1" hidden="1">
      <c r="A1017" s="102" t="s">
        <v>684</v>
      </c>
      <c r="B1017" s="100" t="s">
        <v>425</v>
      </c>
      <c r="C1017" s="117">
        <v>9</v>
      </c>
      <c r="D1017" s="100" t="s">
        <v>147</v>
      </c>
      <c r="E1017" s="99" t="s">
        <v>306</v>
      </c>
      <c r="F1017" s="99" t="s">
        <v>685</v>
      </c>
      <c r="G1017" s="100"/>
      <c r="H1017" s="74"/>
      <c r="I1017" s="74">
        <f>I1018</f>
        <v>0</v>
      </c>
      <c r="J1017" s="96">
        <f t="shared" si="70"/>
        <v>0</v>
      </c>
      <c r="K1017" s="74">
        <f>K1018</f>
        <v>0</v>
      </c>
      <c r="L1017" s="74">
        <f>L1018</f>
        <v>0</v>
      </c>
    </row>
    <row r="1018" spans="1:12" ht="20.25" customHeight="1" hidden="1">
      <c r="A1018" s="102" t="s">
        <v>107</v>
      </c>
      <c r="B1018" s="100" t="s">
        <v>425</v>
      </c>
      <c r="C1018" s="117">
        <v>9</v>
      </c>
      <c r="D1018" s="100" t="s">
        <v>147</v>
      </c>
      <c r="E1018" s="99" t="s">
        <v>306</v>
      </c>
      <c r="F1018" s="99" t="s">
        <v>685</v>
      </c>
      <c r="G1018" s="100" t="s">
        <v>108</v>
      </c>
      <c r="H1018" s="74"/>
      <c r="I1018" s="74">
        <f>'Пр. 9'!J532</f>
        <v>0</v>
      </c>
      <c r="J1018" s="96">
        <f t="shared" si="70"/>
        <v>0</v>
      </c>
      <c r="K1018" s="74">
        <f>'Пр. 9'!L532</f>
        <v>0</v>
      </c>
      <c r="L1018" s="74">
        <f>'Пр. 9'!M532</f>
        <v>0</v>
      </c>
    </row>
    <row r="1019" spans="1:12" ht="69" customHeight="1" hidden="1">
      <c r="A1019" s="102" t="s">
        <v>307</v>
      </c>
      <c r="B1019" s="100" t="s">
        <v>425</v>
      </c>
      <c r="C1019" s="117">
        <v>9</v>
      </c>
      <c r="D1019" s="100" t="s">
        <v>147</v>
      </c>
      <c r="E1019" s="99" t="s">
        <v>308</v>
      </c>
      <c r="F1019" s="99"/>
      <c r="G1019" s="100"/>
      <c r="H1019" s="74"/>
      <c r="I1019" s="74">
        <f>I1020</f>
        <v>0</v>
      </c>
      <c r="J1019" s="96">
        <f aca="true" t="shared" si="72" ref="J1019:J1036">I1019-H1019</f>
        <v>0</v>
      </c>
      <c r="K1019" s="74">
        <f>K1020</f>
        <v>0</v>
      </c>
      <c r="L1019" s="74">
        <f>L1020</f>
        <v>0</v>
      </c>
    </row>
    <row r="1020" spans="1:12" ht="18.75" customHeight="1" hidden="1">
      <c r="A1020" s="102" t="s">
        <v>684</v>
      </c>
      <c r="B1020" s="100" t="s">
        <v>425</v>
      </c>
      <c r="C1020" s="117">
        <v>9</v>
      </c>
      <c r="D1020" s="100" t="s">
        <v>147</v>
      </c>
      <c r="E1020" s="99" t="s">
        <v>308</v>
      </c>
      <c r="F1020" s="99" t="s">
        <v>685</v>
      </c>
      <c r="G1020" s="100"/>
      <c r="H1020" s="74"/>
      <c r="I1020" s="74">
        <f>I1021</f>
        <v>0</v>
      </c>
      <c r="J1020" s="96">
        <f t="shared" si="72"/>
        <v>0</v>
      </c>
      <c r="K1020" s="74">
        <f>K1021</f>
        <v>0</v>
      </c>
      <c r="L1020" s="74">
        <f>L1021</f>
        <v>0</v>
      </c>
    </row>
    <row r="1021" spans="1:12" ht="24.75" customHeight="1" hidden="1">
      <c r="A1021" s="102" t="s">
        <v>107</v>
      </c>
      <c r="B1021" s="100" t="s">
        <v>425</v>
      </c>
      <c r="C1021" s="117">
        <v>9</v>
      </c>
      <c r="D1021" s="100" t="s">
        <v>147</v>
      </c>
      <c r="E1021" s="99" t="s">
        <v>308</v>
      </c>
      <c r="F1021" s="99" t="s">
        <v>685</v>
      </c>
      <c r="G1021" s="100" t="s">
        <v>108</v>
      </c>
      <c r="H1021" s="74"/>
      <c r="I1021" s="74">
        <f>'Пр. 9'!J534</f>
        <v>0</v>
      </c>
      <c r="J1021" s="96">
        <f t="shared" si="72"/>
        <v>0</v>
      </c>
      <c r="K1021" s="74">
        <f>'Пр. 9'!L534</f>
        <v>0</v>
      </c>
      <c r="L1021" s="74">
        <f>'Пр. 9'!M534</f>
        <v>0</v>
      </c>
    </row>
    <row r="1022" spans="1:12" ht="41.25" customHeight="1" hidden="1">
      <c r="A1022" s="102" t="s">
        <v>309</v>
      </c>
      <c r="B1022" s="100" t="s">
        <v>425</v>
      </c>
      <c r="C1022" s="117">
        <v>9</v>
      </c>
      <c r="D1022" s="100" t="s">
        <v>147</v>
      </c>
      <c r="E1022" s="99" t="s">
        <v>310</v>
      </c>
      <c r="F1022" s="99"/>
      <c r="G1022" s="100"/>
      <c r="H1022" s="74"/>
      <c r="I1022" s="74">
        <f>I1023</f>
        <v>0</v>
      </c>
      <c r="J1022" s="96">
        <f t="shared" si="72"/>
        <v>0</v>
      </c>
      <c r="K1022" s="74">
        <f>K1023</f>
        <v>0</v>
      </c>
      <c r="L1022" s="74">
        <f>L1023</f>
        <v>0</v>
      </c>
    </row>
    <row r="1023" spans="1:12" ht="30.75" customHeight="1" hidden="1">
      <c r="A1023" s="102" t="s">
        <v>684</v>
      </c>
      <c r="B1023" s="100" t="s">
        <v>425</v>
      </c>
      <c r="C1023" s="117">
        <v>9</v>
      </c>
      <c r="D1023" s="100" t="s">
        <v>147</v>
      </c>
      <c r="E1023" s="99" t="s">
        <v>310</v>
      </c>
      <c r="F1023" s="99" t="s">
        <v>685</v>
      </c>
      <c r="G1023" s="100"/>
      <c r="H1023" s="74"/>
      <c r="I1023" s="74">
        <f>I1024</f>
        <v>0</v>
      </c>
      <c r="J1023" s="101">
        <f t="shared" si="72"/>
        <v>0</v>
      </c>
      <c r="K1023" s="74">
        <f>K1024</f>
        <v>0</v>
      </c>
      <c r="L1023" s="74">
        <f>L1024</f>
        <v>0</v>
      </c>
    </row>
    <row r="1024" spans="1:12" ht="27.75" customHeight="1" hidden="1">
      <c r="A1024" s="102" t="s">
        <v>107</v>
      </c>
      <c r="B1024" s="100" t="s">
        <v>425</v>
      </c>
      <c r="C1024" s="117">
        <v>9</v>
      </c>
      <c r="D1024" s="100" t="s">
        <v>147</v>
      </c>
      <c r="E1024" s="99" t="s">
        <v>310</v>
      </c>
      <c r="F1024" s="99" t="s">
        <v>685</v>
      </c>
      <c r="G1024" s="100" t="s">
        <v>108</v>
      </c>
      <c r="H1024" s="74"/>
      <c r="I1024" s="74">
        <f>'Пр. 9'!J536</f>
        <v>0</v>
      </c>
      <c r="J1024" s="101">
        <f t="shared" si="72"/>
        <v>0</v>
      </c>
      <c r="K1024" s="74">
        <f>'Пр. 9'!L536</f>
        <v>0</v>
      </c>
      <c r="L1024" s="74">
        <f>'Пр. 9'!M536</f>
        <v>0</v>
      </c>
    </row>
    <row r="1025" spans="1:12" ht="25.5" customHeight="1" hidden="1">
      <c r="A1025" s="102" t="s">
        <v>311</v>
      </c>
      <c r="B1025" s="100" t="s">
        <v>425</v>
      </c>
      <c r="C1025" s="117">
        <v>9</v>
      </c>
      <c r="D1025" s="100" t="s">
        <v>147</v>
      </c>
      <c r="E1025" s="99" t="s">
        <v>312</v>
      </c>
      <c r="F1025" s="99"/>
      <c r="G1025" s="100"/>
      <c r="H1025" s="74"/>
      <c r="I1025" s="74">
        <f>I1026</f>
        <v>0</v>
      </c>
      <c r="J1025" s="101">
        <f t="shared" si="72"/>
        <v>0</v>
      </c>
      <c r="K1025" s="74">
        <f>K1026</f>
        <v>0</v>
      </c>
      <c r="L1025" s="74">
        <f>L1026</f>
        <v>0</v>
      </c>
    </row>
    <row r="1026" spans="1:12" ht="29.25" customHeight="1" hidden="1">
      <c r="A1026" s="102" t="s">
        <v>684</v>
      </c>
      <c r="B1026" s="100" t="s">
        <v>425</v>
      </c>
      <c r="C1026" s="117">
        <v>9</v>
      </c>
      <c r="D1026" s="100" t="s">
        <v>147</v>
      </c>
      <c r="E1026" s="99" t="s">
        <v>312</v>
      </c>
      <c r="F1026" s="99" t="s">
        <v>685</v>
      </c>
      <c r="G1026" s="100"/>
      <c r="H1026" s="74"/>
      <c r="I1026" s="74">
        <f>I1027</f>
        <v>0</v>
      </c>
      <c r="J1026" s="101">
        <f t="shared" si="72"/>
        <v>0</v>
      </c>
      <c r="K1026" s="74">
        <f>K1027</f>
        <v>0</v>
      </c>
      <c r="L1026" s="74">
        <f>L1027</f>
        <v>0</v>
      </c>
    </row>
    <row r="1027" spans="1:12" ht="29.25" customHeight="1" hidden="1">
      <c r="A1027" s="102" t="s">
        <v>107</v>
      </c>
      <c r="B1027" s="100" t="s">
        <v>425</v>
      </c>
      <c r="C1027" s="117">
        <v>9</v>
      </c>
      <c r="D1027" s="100" t="s">
        <v>147</v>
      </c>
      <c r="E1027" s="99" t="s">
        <v>312</v>
      </c>
      <c r="F1027" s="99" t="s">
        <v>685</v>
      </c>
      <c r="G1027" s="100" t="s">
        <v>108</v>
      </c>
      <c r="H1027" s="74"/>
      <c r="I1027" s="74">
        <f>'Пр. 9'!J538</f>
        <v>0</v>
      </c>
      <c r="J1027" s="101">
        <f t="shared" si="72"/>
        <v>0</v>
      </c>
      <c r="K1027" s="74">
        <f>'Пр. 9'!L538</f>
        <v>0</v>
      </c>
      <c r="L1027" s="74">
        <f>'Пр. 9'!M538</f>
        <v>0</v>
      </c>
    </row>
    <row r="1028" spans="1:12" s="4" customFormat="1" ht="24" customHeight="1" hidden="1">
      <c r="A1028" s="136" t="s">
        <v>631</v>
      </c>
      <c r="B1028" s="99" t="s">
        <v>426</v>
      </c>
      <c r="C1028" s="99" t="s">
        <v>329</v>
      </c>
      <c r="D1028" s="99" t="s">
        <v>147</v>
      </c>
      <c r="E1028" s="99" t="s">
        <v>634</v>
      </c>
      <c r="F1028" s="99"/>
      <c r="G1028" s="100"/>
      <c r="H1028" s="74"/>
      <c r="I1028" s="74">
        <f>I1029</f>
        <v>0</v>
      </c>
      <c r="J1028" s="101">
        <f t="shared" si="72"/>
        <v>0</v>
      </c>
      <c r="K1028" s="119">
        <f>K1029</f>
        <v>0</v>
      </c>
      <c r="L1028" s="119">
        <f>L1029</f>
        <v>0</v>
      </c>
    </row>
    <row r="1029" spans="1:12" s="4" customFormat="1" ht="24.75" customHeight="1" hidden="1">
      <c r="A1029" s="103" t="s">
        <v>690</v>
      </c>
      <c r="B1029" s="99" t="s">
        <v>426</v>
      </c>
      <c r="C1029" s="99" t="s">
        <v>329</v>
      </c>
      <c r="D1029" s="99" t="s">
        <v>147</v>
      </c>
      <c r="E1029" s="99" t="s">
        <v>634</v>
      </c>
      <c r="F1029" s="99" t="s">
        <v>691</v>
      </c>
      <c r="G1029" s="100"/>
      <c r="H1029" s="74"/>
      <c r="I1029" s="74">
        <f>I1030</f>
        <v>0</v>
      </c>
      <c r="J1029" s="101">
        <f t="shared" si="72"/>
        <v>0</v>
      </c>
      <c r="K1029" s="74">
        <f>K1030</f>
        <v>0</v>
      </c>
      <c r="L1029" s="74">
        <f>L1030</f>
        <v>0</v>
      </c>
    </row>
    <row r="1030" spans="1:12" s="4" customFormat="1" ht="33.75" customHeight="1" hidden="1">
      <c r="A1030" s="22" t="s">
        <v>75</v>
      </c>
      <c r="B1030" s="99" t="s">
        <v>426</v>
      </c>
      <c r="C1030" s="99" t="s">
        <v>329</v>
      </c>
      <c r="D1030" s="99" t="s">
        <v>147</v>
      </c>
      <c r="E1030" s="99" t="s">
        <v>634</v>
      </c>
      <c r="F1030" s="99" t="s">
        <v>691</v>
      </c>
      <c r="G1030" s="100" t="s">
        <v>76</v>
      </c>
      <c r="H1030" s="74"/>
      <c r="I1030" s="74">
        <f>'Пр. 9'!J674</f>
        <v>0</v>
      </c>
      <c r="J1030" s="101">
        <f t="shared" si="72"/>
        <v>0</v>
      </c>
      <c r="K1030" s="74">
        <f>'Пр. 9'!L674</f>
        <v>0</v>
      </c>
      <c r="L1030" s="74">
        <f>'Пр. 9'!M674</f>
        <v>0</v>
      </c>
    </row>
    <row r="1031" spans="1:12" s="4" customFormat="1" ht="46.5" customHeight="1">
      <c r="A1031" s="115" t="s">
        <v>1084</v>
      </c>
      <c r="B1031" s="99" t="s">
        <v>425</v>
      </c>
      <c r="C1031" s="99" t="s">
        <v>329</v>
      </c>
      <c r="D1031" s="99" t="s">
        <v>147</v>
      </c>
      <c r="E1031" s="99" t="s">
        <v>1085</v>
      </c>
      <c r="F1031" s="99"/>
      <c r="G1031" s="100"/>
      <c r="H1031" s="74">
        <f>H1032</f>
        <v>7712.9</v>
      </c>
      <c r="I1031" s="74">
        <f>I1032</f>
        <v>7712.9</v>
      </c>
      <c r="J1031" s="101">
        <f t="shared" si="72"/>
        <v>0</v>
      </c>
      <c r="K1031" s="74">
        <f>K1032</f>
        <v>0</v>
      </c>
      <c r="L1031" s="74">
        <f>L1032</f>
        <v>0</v>
      </c>
    </row>
    <row r="1032" spans="1:12" s="4" customFormat="1" ht="19.5" customHeight="1">
      <c r="A1032" s="112" t="s">
        <v>690</v>
      </c>
      <c r="B1032" s="99" t="s">
        <v>425</v>
      </c>
      <c r="C1032" s="99" t="s">
        <v>329</v>
      </c>
      <c r="D1032" s="99" t="s">
        <v>147</v>
      </c>
      <c r="E1032" s="99" t="s">
        <v>1085</v>
      </c>
      <c r="F1032" s="99" t="s">
        <v>691</v>
      </c>
      <c r="G1032" s="100"/>
      <c r="H1032" s="74">
        <f>H1033</f>
        <v>7712.9</v>
      </c>
      <c r="I1032" s="74">
        <f>I1033</f>
        <v>7712.9</v>
      </c>
      <c r="J1032" s="101">
        <f t="shared" si="72"/>
        <v>0</v>
      </c>
      <c r="K1032" s="74">
        <f>K1033</f>
        <v>0</v>
      </c>
      <c r="L1032" s="74">
        <f>L1033</f>
        <v>0</v>
      </c>
    </row>
    <row r="1033" spans="1:12" s="4" customFormat="1" ht="21.75" customHeight="1">
      <c r="A1033" s="109" t="s">
        <v>63</v>
      </c>
      <c r="B1033" s="99" t="s">
        <v>425</v>
      </c>
      <c r="C1033" s="99" t="s">
        <v>329</v>
      </c>
      <c r="D1033" s="99" t="s">
        <v>147</v>
      </c>
      <c r="E1033" s="99" t="s">
        <v>1085</v>
      </c>
      <c r="F1033" s="99" t="s">
        <v>691</v>
      </c>
      <c r="G1033" s="100" t="s">
        <v>64</v>
      </c>
      <c r="H1033" s="74">
        <f>'Пр. 9'!I647</f>
        <v>7712.9</v>
      </c>
      <c r="I1033" s="74">
        <f>'Пр. 9'!J647</f>
        <v>7712.9</v>
      </c>
      <c r="J1033" s="101">
        <f t="shared" si="72"/>
        <v>0</v>
      </c>
      <c r="K1033" s="74">
        <f>'Пр. 9'!L647</f>
        <v>0</v>
      </c>
      <c r="L1033" s="74">
        <f>'Пр. 9'!M647</f>
        <v>0</v>
      </c>
    </row>
    <row r="1034" spans="1:12" ht="15">
      <c r="A1034" s="392" t="s">
        <v>931</v>
      </c>
      <c r="B1034" s="393"/>
      <c r="C1034" s="393"/>
      <c r="D1034" s="393"/>
      <c r="E1034" s="393"/>
      <c r="F1034" s="393"/>
      <c r="G1034" s="394"/>
      <c r="H1034" s="121">
        <f>H12+H81+H118+H140+H220+H254+H497+H533+H593+H634+H661+H713+H750+H834</f>
        <v>3084612</v>
      </c>
      <c r="I1034" s="121">
        <f>I12+I81+I118+I140+I220+I254+I497+I533+I593+I634+I661+I713+I750+I834</f>
        <v>3121105.5</v>
      </c>
      <c r="J1034" s="96">
        <f t="shared" si="72"/>
        <v>36493.5</v>
      </c>
      <c r="K1034" s="121">
        <f>K12+K81+K118+K140+K220+K254+K497+K533+K593+K634+K661+K713+K750+K834</f>
        <v>2951415.150000001</v>
      </c>
      <c r="L1034" s="121">
        <f>L12+L81+L118+L140+L220+L254+L497+L533+L593+L634+L661+L713+L750+L834</f>
        <v>2943403.6000000006</v>
      </c>
    </row>
    <row r="1035" spans="1:12" ht="15">
      <c r="A1035" s="395" t="s">
        <v>929</v>
      </c>
      <c r="B1035" s="396"/>
      <c r="C1035" s="396"/>
      <c r="D1035" s="396"/>
      <c r="E1035" s="396"/>
      <c r="F1035" s="396"/>
      <c r="G1035" s="397"/>
      <c r="H1035" s="119"/>
      <c r="I1035" s="119"/>
      <c r="J1035" s="96"/>
      <c r="K1035" s="119">
        <f>'Пр. 9'!L1107</f>
        <v>25500</v>
      </c>
      <c r="L1035" s="119">
        <f>'Пр. 9'!M1107</f>
        <v>53500</v>
      </c>
    </row>
    <row r="1036" spans="1:12" ht="15">
      <c r="A1036" s="398" t="s">
        <v>930</v>
      </c>
      <c r="B1036" s="396"/>
      <c r="C1036" s="396"/>
      <c r="D1036" s="396"/>
      <c r="E1036" s="396"/>
      <c r="F1036" s="396"/>
      <c r="G1036" s="397"/>
      <c r="H1036" s="121">
        <f>'Пр. 9'!I1108</f>
        <v>3084612</v>
      </c>
      <c r="I1036" s="121">
        <f>'Пр. 9'!J1108</f>
        <v>3121105.5</v>
      </c>
      <c r="J1036" s="96">
        <f t="shared" si="72"/>
        <v>36493.5</v>
      </c>
      <c r="K1036" s="121">
        <f>'Пр. 9'!L1108</f>
        <v>2976915.150000001</v>
      </c>
      <c r="L1036" s="121">
        <f>'Пр. 9'!M1108</f>
        <v>2996903.6000000006</v>
      </c>
    </row>
  </sheetData>
  <sheetProtection/>
  <mergeCells count="5">
    <mergeCell ref="A1034:G1034"/>
    <mergeCell ref="A1035:G1035"/>
    <mergeCell ref="A1036:G1036"/>
    <mergeCell ref="B11:E11"/>
    <mergeCell ref="A8:L8"/>
  </mergeCells>
  <printOptions/>
  <pageMargins left="0.7086614173228347" right="0" top="0.5118110236220472" bottom="0.35433070866141736" header="0.31496062992125984" footer="0.31496062992125984"/>
  <pageSetup fitToHeight="38" horizontalDpi="600" verticalDpi="600" orientation="portrait" paperSize="9" scale="60" r:id="rId1"/>
  <headerFooter differentFirst="1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108"/>
  <sheetViews>
    <sheetView zoomScale="110" zoomScaleNormal="110" zoomScalePageLayoutView="0" workbookViewId="0" topLeftCell="A1">
      <selection activeCell="J620" sqref="J620"/>
    </sheetView>
  </sheetViews>
  <sheetFormatPr defaultColWidth="8.8515625" defaultRowHeight="15" outlineLevelCol="1"/>
  <cols>
    <col min="1" max="1" width="67.28125" style="260" customWidth="1"/>
    <col min="2" max="2" width="8.00390625" style="261" customWidth="1"/>
    <col min="3" max="3" width="6.8515625" style="156" customWidth="1"/>
    <col min="4" max="4" width="3.8515625" style="262" customWidth="1"/>
    <col min="5" max="5" width="3.00390625" style="262" customWidth="1"/>
    <col min="6" max="6" width="4.00390625" style="262" customWidth="1"/>
    <col min="7" max="7" width="6.8515625" style="262" customWidth="1"/>
    <col min="8" max="8" width="5.421875" style="156" customWidth="1"/>
    <col min="9" max="9" width="13.00390625" style="263" hidden="1" customWidth="1" outlineLevel="1"/>
    <col min="10" max="10" width="12.421875" style="254" customWidth="1" collapsed="1"/>
    <col min="11" max="11" width="11.421875" style="198" hidden="1" customWidth="1" outlineLevel="1"/>
    <col min="12" max="12" width="12.421875" style="254" customWidth="1" collapsed="1"/>
    <col min="13" max="13" width="11.421875" style="254" customWidth="1"/>
    <col min="14" max="14" width="10.140625" style="254" customWidth="1"/>
    <col min="15" max="16384" width="8.8515625" style="254" customWidth="1"/>
  </cols>
  <sheetData>
    <row r="1" spans="12:13" ht="15">
      <c r="L1" s="198"/>
      <c r="M1" s="198" t="s">
        <v>0</v>
      </c>
    </row>
    <row r="2" spans="8:13" ht="12.75" customHeight="1">
      <c r="H2" s="262"/>
      <c r="I2" s="199"/>
      <c r="J2" s="199"/>
      <c r="L2" s="199"/>
      <c r="M2" s="199" t="s">
        <v>1</v>
      </c>
    </row>
    <row r="3" spans="2:13" ht="12" customHeight="1">
      <c r="B3" s="264"/>
      <c r="I3" s="199"/>
      <c r="J3" s="199"/>
      <c r="L3" s="199"/>
      <c r="M3" s="199" t="s">
        <v>2</v>
      </c>
    </row>
    <row r="4" spans="2:13" ht="13.5" customHeight="1">
      <c r="B4" s="265"/>
      <c r="I4" s="199"/>
      <c r="J4" s="199"/>
      <c r="L4" s="199"/>
      <c r="M4" s="199" t="s">
        <v>1161</v>
      </c>
    </row>
    <row r="5" ht="12.75" customHeight="1">
      <c r="M5" s="198" t="s">
        <v>733</v>
      </c>
    </row>
    <row r="8" spans="1:13" s="156" customFormat="1" ht="25.5" customHeight="1">
      <c r="A8" s="403" t="s">
        <v>1023</v>
      </c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</row>
    <row r="10" ht="15">
      <c r="M10" s="254" t="s">
        <v>723</v>
      </c>
    </row>
    <row r="11" spans="1:13" s="154" customFormat="1" ht="52.5" customHeight="1">
      <c r="A11" s="95" t="s">
        <v>130</v>
      </c>
      <c r="B11" s="266" t="s">
        <v>481</v>
      </c>
      <c r="C11" s="95" t="s">
        <v>146</v>
      </c>
      <c r="D11" s="404" t="s">
        <v>22</v>
      </c>
      <c r="E11" s="405"/>
      <c r="F11" s="405"/>
      <c r="G11" s="406"/>
      <c r="H11" s="67" t="s">
        <v>145</v>
      </c>
      <c r="I11" s="36" t="s">
        <v>1063</v>
      </c>
      <c r="J11" s="193" t="s">
        <v>845</v>
      </c>
      <c r="K11" s="193" t="s">
        <v>720</v>
      </c>
      <c r="L11" s="194" t="s">
        <v>749</v>
      </c>
      <c r="M11" s="194" t="s">
        <v>1017</v>
      </c>
    </row>
    <row r="12" spans="1:13" s="154" customFormat="1" ht="52.5" customHeight="1" hidden="1">
      <c r="A12" s="95"/>
      <c r="B12" s="266"/>
      <c r="C12" s="95"/>
      <c r="D12" s="328"/>
      <c r="E12" s="340"/>
      <c r="F12" s="340"/>
      <c r="G12" s="341"/>
      <c r="H12" s="67"/>
      <c r="I12" s="36"/>
      <c r="J12" s="193"/>
      <c r="K12" s="193"/>
      <c r="L12" s="194"/>
      <c r="M12" s="194"/>
    </row>
    <row r="13" spans="1:13" s="268" customFormat="1" ht="28.5">
      <c r="A13" s="127" t="s">
        <v>133</v>
      </c>
      <c r="B13" s="266" t="s">
        <v>23</v>
      </c>
      <c r="C13" s="95"/>
      <c r="D13" s="67"/>
      <c r="E13" s="67"/>
      <c r="F13" s="67"/>
      <c r="G13" s="67"/>
      <c r="H13" s="67"/>
      <c r="I13" s="36">
        <f>I14+I137+I178+I295+I374+I443+I555+I487</f>
        <v>534751.2999999999</v>
      </c>
      <c r="J13" s="36">
        <f>J14+J137+J178+J295+J374+J443+J555+J487</f>
        <v>555826.4</v>
      </c>
      <c r="K13" s="267">
        <f aca="true" t="shared" si="0" ref="K13:K20">J13-I13</f>
        <v>21075.100000000093</v>
      </c>
      <c r="L13" s="36">
        <f>L14+L137+L178+L295+L374+L443+L555+L487</f>
        <v>635777.6000000001</v>
      </c>
      <c r="M13" s="36">
        <f>M14+M137+M178+M295+M374+M443+M555+M487</f>
        <v>626365.5</v>
      </c>
    </row>
    <row r="14" spans="1:13" s="268" customFormat="1" ht="14.25">
      <c r="A14" s="127" t="s">
        <v>37</v>
      </c>
      <c r="B14" s="266" t="s">
        <v>23</v>
      </c>
      <c r="C14" s="95" t="s">
        <v>38</v>
      </c>
      <c r="D14" s="67"/>
      <c r="E14" s="67"/>
      <c r="F14" s="67"/>
      <c r="G14" s="67"/>
      <c r="H14" s="67"/>
      <c r="I14" s="36">
        <f>I15+I65+I71</f>
        <v>199556.6</v>
      </c>
      <c r="J14" s="36">
        <f>J15+J65+J71</f>
        <v>198944.2</v>
      </c>
      <c r="K14" s="267">
        <f t="shared" si="0"/>
        <v>-612.3999999999942</v>
      </c>
      <c r="L14" s="36">
        <f>L15+L65+L71</f>
        <v>191773.9</v>
      </c>
      <c r="M14" s="36">
        <f>M15+M65+M71</f>
        <v>197277.4</v>
      </c>
    </row>
    <row r="15" spans="1:13" s="268" customFormat="1" ht="42.75">
      <c r="A15" s="127" t="s">
        <v>168</v>
      </c>
      <c r="B15" s="266" t="s">
        <v>23</v>
      </c>
      <c r="C15" s="95" t="s">
        <v>44</v>
      </c>
      <c r="D15" s="67"/>
      <c r="E15" s="67"/>
      <c r="F15" s="67"/>
      <c r="G15" s="67"/>
      <c r="H15" s="67"/>
      <c r="I15" s="36">
        <f>I16+I21+I27+I32+I41</f>
        <v>128931.90000000001</v>
      </c>
      <c r="J15" s="36">
        <f>J16+J21+J27+J32+J41</f>
        <v>128819.50000000001</v>
      </c>
      <c r="K15" s="267">
        <f t="shared" si="0"/>
        <v>-112.39999999999418</v>
      </c>
      <c r="L15" s="36">
        <f>L16+L21+L27+L32+L41</f>
        <v>128807.29999999999</v>
      </c>
      <c r="M15" s="36">
        <f>M16+M21+M27+M32+M41</f>
        <v>132403.5</v>
      </c>
    </row>
    <row r="16" spans="1:13" s="268" customFormat="1" ht="42.75">
      <c r="A16" s="127" t="s">
        <v>159</v>
      </c>
      <c r="B16" s="266" t="s">
        <v>23</v>
      </c>
      <c r="C16" s="95" t="s">
        <v>44</v>
      </c>
      <c r="D16" s="67" t="s">
        <v>160</v>
      </c>
      <c r="E16" s="67" t="s">
        <v>148</v>
      </c>
      <c r="F16" s="67" t="s">
        <v>149</v>
      </c>
      <c r="G16" s="67" t="s">
        <v>150</v>
      </c>
      <c r="H16" s="67"/>
      <c r="I16" s="36">
        <f aca="true" t="shared" si="1" ref="I16:M17">I17</f>
        <v>479.7</v>
      </c>
      <c r="J16" s="36">
        <f t="shared" si="1"/>
        <v>479.7</v>
      </c>
      <c r="K16" s="267">
        <f t="shared" si="0"/>
        <v>0</v>
      </c>
      <c r="L16" s="36">
        <f t="shared" si="1"/>
        <v>720.6</v>
      </c>
      <c r="M16" s="36">
        <f t="shared" si="1"/>
        <v>720.6</v>
      </c>
    </row>
    <row r="17" spans="1:13" s="268" customFormat="1" ht="14.25">
      <c r="A17" s="124" t="s">
        <v>755</v>
      </c>
      <c r="B17" s="266" t="s">
        <v>23</v>
      </c>
      <c r="C17" s="95" t="s">
        <v>44</v>
      </c>
      <c r="D17" s="67" t="s">
        <v>160</v>
      </c>
      <c r="E17" s="67" t="s">
        <v>148</v>
      </c>
      <c r="F17" s="67" t="s">
        <v>160</v>
      </c>
      <c r="G17" s="67" t="s">
        <v>150</v>
      </c>
      <c r="H17" s="67"/>
      <c r="I17" s="36">
        <f t="shared" si="1"/>
        <v>479.7</v>
      </c>
      <c r="J17" s="36">
        <f t="shared" si="1"/>
        <v>479.7</v>
      </c>
      <c r="K17" s="267">
        <f t="shared" si="0"/>
        <v>0</v>
      </c>
      <c r="L17" s="36">
        <f t="shared" si="1"/>
        <v>720.6</v>
      </c>
      <c r="M17" s="36">
        <f t="shared" si="1"/>
        <v>720.6</v>
      </c>
    </row>
    <row r="18" spans="1:13" s="269" customFormat="1" ht="15">
      <c r="A18" s="112" t="s">
        <v>166</v>
      </c>
      <c r="B18" s="270" t="s">
        <v>23</v>
      </c>
      <c r="C18" s="100" t="s">
        <v>44</v>
      </c>
      <c r="D18" s="99" t="s">
        <v>160</v>
      </c>
      <c r="E18" s="99" t="s">
        <v>148</v>
      </c>
      <c r="F18" s="99" t="s">
        <v>160</v>
      </c>
      <c r="G18" s="99" t="s">
        <v>167</v>
      </c>
      <c r="H18" s="99"/>
      <c r="I18" s="74">
        <f>I19+I20</f>
        <v>479.7</v>
      </c>
      <c r="J18" s="74">
        <f>J19+J20</f>
        <v>479.7</v>
      </c>
      <c r="K18" s="271">
        <f t="shared" si="0"/>
        <v>0</v>
      </c>
      <c r="L18" s="74">
        <f>L19+L20</f>
        <v>720.6</v>
      </c>
      <c r="M18" s="74">
        <f>M19+M20</f>
        <v>720.6</v>
      </c>
    </row>
    <row r="19" spans="1:13" s="268" customFormat="1" ht="60">
      <c r="A19" s="109" t="s">
        <v>680</v>
      </c>
      <c r="B19" s="270" t="s">
        <v>23</v>
      </c>
      <c r="C19" s="100" t="s">
        <v>44</v>
      </c>
      <c r="D19" s="99" t="s">
        <v>160</v>
      </c>
      <c r="E19" s="99" t="s">
        <v>148</v>
      </c>
      <c r="F19" s="99" t="s">
        <v>160</v>
      </c>
      <c r="G19" s="99" t="s">
        <v>167</v>
      </c>
      <c r="H19" s="99" t="s">
        <v>681</v>
      </c>
      <c r="I19" s="74">
        <f>699.6-227.3</f>
        <v>472.3</v>
      </c>
      <c r="J19" s="74">
        <f>699.6-227.3</f>
        <v>472.3</v>
      </c>
      <c r="K19" s="271">
        <f t="shared" si="0"/>
        <v>0</v>
      </c>
      <c r="L19" s="74">
        <v>699.6</v>
      </c>
      <c r="M19" s="74">
        <v>699.6</v>
      </c>
    </row>
    <row r="20" spans="1:13" s="268" customFormat="1" ht="30">
      <c r="A20" s="109" t="s">
        <v>683</v>
      </c>
      <c r="B20" s="270" t="s">
        <v>23</v>
      </c>
      <c r="C20" s="100" t="s">
        <v>44</v>
      </c>
      <c r="D20" s="99" t="s">
        <v>160</v>
      </c>
      <c r="E20" s="99" t="s">
        <v>148</v>
      </c>
      <c r="F20" s="99" t="s">
        <v>160</v>
      </c>
      <c r="G20" s="99" t="s">
        <v>167</v>
      </c>
      <c r="H20" s="99" t="s">
        <v>682</v>
      </c>
      <c r="I20" s="74">
        <f>21-13.6</f>
        <v>7.4</v>
      </c>
      <c r="J20" s="74">
        <f>21-13.6</f>
        <v>7.4</v>
      </c>
      <c r="K20" s="271">
        <f t="shared" si="0"/>
        <v>0</v>
      </c>
      <c r="L20" s="74">
        <v>21</v>
      </c>
      <c r="M20" s="74">
        <v>21</v>
      </c>
    </row>
    <row r="21" spans="1:13" s="269" customFormat="1" ht="42.75">
      <c r="A21" s="127" t="s">
        <v>287</v>
      </c>
      <c r="B21" s="266" t="s">
        <v>23</v>
      </c>
      <c r="C21" s="95" t="s">
        <v>44</v>
      </c>
      <c r="D21" s="67" t="s">
        <v>288</v>
      </c>
      <c r="E21" s="67" t="s">
        <v>148</v>
      </c>
      <c r="F21" s="67" t="s">
        <v>149</v>
      </c>
      <c r="G21" s="67" t="s">
        <v>150</v>
      </c>
      <c r="H21" s="67"/>
      <c r="I21" s="36">
        <f aca="true" t="shared" si="2" ref="I21:M23">I22</f>
        <v>1635.3</v>
      </c>
      <c r="J21" s="36">
        <f t="shared" si="2"/>
        <v>1635.3</v>
      </c>
      <c r="K21" s="267">
        <f aca="true" t="shared" si="3" ref="K21:K48">J21-I21</f>
        <v>0</v>
      </c>
      <c r="L21" s="36">
        <f t="shared" si="2"/>
        <v>1700.7</v>
      </c>
      <c r="M21" s="36">
        <f t="shared" si="2"/>
        <v>1768.7</v>
      </c>
    </row>
    <row r="22" spans="1:13" s="268" customFormat="1" ht="42.75">
      <c r="A22" s="124" t="s">
        <v>466</v>
      </c>
      <c r="B22" s="266" t="s">
        <v>23</v>
      </c>
      <c r="C22" s="95" t="s">
        <v>44</v>
      </c>
      <c r="D22" s="67" t="s">
        <v>288</v>
      </c>
      <c r="E22" s="67" t="s">
        <v>135</v>
      </c>
      <c r="F22" s="67" t="s">
        <v>149</v>
      </c>
      <c r="G22" s="67" t="s">
        <v>150</v>
      </c>
      <c r="H22" s="67"/>
      <c r="I22" s="36">
        <f t="shared" si="2"/>
        <v>1635.3</v>
      </c>
      <c r="J22" s="36">
        <f t="shared" si="2"/>
        <v>1635.3</v>
      </c>
      <c r="K22" s="267">
        <f t="shared" si="3"/>
        <v>0</v>
      </c>
      <c r="L22" s="36">
        <f t="shared" si="2"/>
        <v>1700.7</v>
      </c>
      <c r="M22" s="36">
        <f t="shared" si="2"/>
        <v>1768.7</v>
      </c>
    </row>
    <row r="23" spans="1:13" s="268" customFormat="1" ht="50.25" customHeight="1">
      <c r="A23" s="125" t="s">
        <v>292</v>
      </c>
      <c r="B23" s="266" t="s">
        <v>23</v>
      </c>
      <c r="C23" s="95" t="s">
        <v>44</v>
      </c>
      <c r="D23" s="67" t="s">
        <v>288</v>
      </c>
      <c r="E23" s="67" t="s">
        <v>135</v>
      </c>
      <c r="F23" s="67" t="s">
        <v>147</v>
      </c>
      <c r="G23" s="67" t="s">
        <v>150</v>
      </c>
      <c r="H23" s="67"/>
      <c r="I23" s="36">
        <f t="shared" si="2"/>
        <v>1635.3</v>
      </c>
      <c r="J23" s="36">
        <f t="shared" si="2"/>
        <v>1635.3</v>
      </c>
      <c r="K23" s="267">
        <f t="shared" si="3"/>
        <v>0</v>
      </c>
      <c r="L23" s="36">
        <f t="shared" si="2"/>
        <v>1700.7</v>
      </c>
      <c r="M23" s="36">
        <f t="shared" si="2"/>
        <v>1768.7</v>
      </c>
    </row>
    <row r="24" spans="1:13" s="268" customFormat="1" ht="15">
      <c r="A24" s="115" t="s">
        <v>294</v>
      </c>
      <c r="B24" s="270" t="s">
        <v>23</v>
      </c>
      <c r="C24" s="100" t="s">
        <v>44</v>
      </c>
      <c r="D24" s="99" t="s">
        <v>288</v>
      </c>
      <c r="E24" s="99" t="s">
        <v>135</v>
      </c>
      <c r="F24" s="99" t="s">
        <v>147</v>
      </c>
      <c r="G24" s="99" t="s">
        <v>295</v>
      </c>
      <c r="H24" s="99"/>
      <c r="I24" s="74">
        <f>I25+I26</f>
        <v>1635.3</v>
      </c>
      <c r="J24" s="74">
        <f>J25+J26</f>
        <v>1635.3</v>
      </c>
      <c r="K24" s="271">
        <f t="shared" si="3"/>
        <v>0</v>
      </c>
      <c r="L24" s="74">
        <f>L25+L26</f>
        <v>1700.7</v>
      </c>
      <c r="M24" s="74">
        <f>M25+M26</f>
        <v>1768.7</v>
      </c>
    </row>
    <row r="25" spans="1:13" s="268" customFormat="1" ht="60">
      <c r="A25" s="111" t="s">
        <v>680</v>
      </c>
      <c r="B25" s="270" t="s">
        <v>23</v>
      </c>
      <c r="C25" s="100" t="s">
        <v>44</v>
      </c>
      <c r="D25" s="99" t="s">
        <v>288</v>
      </c>
      <c r="E25" s="99" t="s">
        <v>135</v>
      </c>
      <c r="F25" s="99" t="s">
        <v>147</v>
      </c>
      <c r="G25" s="99" t="s">
        <v>295</v>
      </c>
      <c r="H25" s="99" t="s">
        <v>681</v>
      </c>
      <c r="I25" s="74">
        <v>1435.3</v>
      </c>
      <c r="J25" s="74">
        <v>1435.3</v>
      </c>
      <c r="K25" s="271">
        <f t="shared" si="3"/>
        <v>0</v>
      </c>
      <c r="L25" s="74">
        <v>1500.7</v>
      </c>
      <c r="M25" s="74">
        <v>1568.7</v>
      </c>
    </row>
    <row r="26" spans="1:13" s="268" customFormat="1" ht="30">
      <c r="A26" s="109" t="s">
        <v>683</v>
      </c>
      <c r="B26" s="270" t="s">
        <v>23</v>
      </c>
      <c r="C26" s="100" t="s">
        <v>44</v>
      </c>
      <c r="D26" s="99" t="s">
        <v>288</v>
      </c>
      <c r="E26" s="99" t="s">
        <v>135</v>
      </c>
      <c r="F26" s="99" t="s">
        <v>147</v>
      </c>
      <c r="G26" s="99" t="s">
        <v>295</v>
      </c>
      <c r="H26" s="99" t="s">
        <v>682</v>
      </c>
      <c r="I26" s="74">
        <v>200</v>
      </c>
      <c r="J26" s="74">
        <v>200</v>
      </c>
      <c r="K26" s="271">
        <f t="shared" si="3"/>
        <v>0</v>
      </c>
      <c r="L26" s="74">
        <v>200</v>
      </c>
      <c r="M26" s="74">
        <v>200</v>
      </c>
    </row>
    <row r="27" spans="1:13" s="268" customFormat="1" ht="42.75">
      <c r="A27" s="127" t="s">
        <v>331</v>
      </c>
      <c r="B27" s="266">
        <v>110</v>
      </c>
      <c r="C27" s="95" t="s">
        <v>44</v>
      </c>
      <c r="D27" s="67" t="s">
        <v>300</v>
      </c>
      <c r="E27" s="67" t="s">
        <v>148</v>
      </c>
      <c r="F27" s="67" t="s">
        <v>149</v>
      </c>
      <c r="G27" s="67" t="s">
        <v>150</v>
      </c>
      <c r="H27" s="67"/>
      <c r="I27" s="36">
        <f aca="true" t="shared" si="4" ref="I27:M30">I28</f>
        <v>384</v>
      </c>
      <c r="J27" s="36">
        <f t="shared" si="4"/>
        <v>384</v>
      </c>
      <c r="K27" s="267">
        <f t="shared" si="3"/>
        <v>0</v>
      </c>
      <c r="L27" s="36">
        <f t="shared" si="4"/>
        <v>450</v>
      </c>
      <c r="M27" s="36">
        <f t="shared" si="4"/>
        <v>450</v>
      </c>
    </row>
    <row r="28" spans="1:13" s="268" customFormat="1" ht="33.75" customHeight="1">
      <c r="A28" s="124" t="s">
        <v>777</v>
      </c>
      <c r="B28" s="266">
        <v>110</v>
      </c>
      <c r="C28" s="95" t="s">
        <v>44</v>
      </c>
      <c r="D28" s="67" t="s">
        <v>300</v>
      </c>
      <c r="E28" s="67" t="s">
        <v>134</v>
      </c>
      <c r="F28" s="67" t="s">
        <v>149</v>
      </c>
      <c r="G28" s="67" t="s">
        <v>150</v>
      </c>
      <c r="H28" s="67"/>
      <c r="I28" s="36">
        <f t="shared" si="4"/>
        <v>384</v>
      </c>
      <c r="J28" s="36">
        <f t="shared" si="4"/>
        <v>384</v>
      </c>
      <c r="K28" s="267">
        <f t="shared" si="3"/>
        <v>0</v>
      </c>
      <c r="L28" s="36">
        <f t="shared" si="4"/>
        <v>450</v>
      </c>
      <c r="M28" s="36">
        <f t="shared" si="4"/>
        <v>450</v>
      </c>
    </row>
    <row r="29" spans="1:13" s="268" customFormat="1" ht="28.5">
      <c r="A29" s="124" t="s">
        <v>778</v>
      </c>
      <c r="B29" s="266" t="s">
        <v>23</v>
      </c>
      <c r="C29" s="95" t="s">
        <v>44</v>
      </c>
      <c r="D29" s="67" t="s">
        <v>300</v>
      </c>
      <c r="E29" s="67" t="s">
        <v>134</v>
      </c>
      <c r="F29" s="67" t="s">
        <v>147</v>
      </c>
      <c r="G29" s="67" t="s">
        <v>150</v>
      </c>
      <c r="H29" s="67"/>
      <c r="I29" s="36">
        <f t="shared" si="4"/>
        <v>384</v>
      </c>
      <c r="J29" s="36">
        <f t="shared" si="4"/>
        <v>384</v>
      </c>
      <c r="K29" s="267">
        <f t="shared" si="3"/>
        <v>0</v>
      </c>
      <c r="L29" s="36">
        <f t="shared" si="4"/>
        <v>450</v>
      </c>
      <c r="M29" s="36">
        <f t="shared" si="4"/>
        <v>450</v>
      </c>
    </row>
    <row r="30" spans="1:13" s="156" customFormat="1" ht="30">
      <c r="A30" s="115" t="s">
        <v>343</v>
      </c>
      <c r="B30" s="270" t="s">
        <v>23</v>
      </c>
      <c r="C30" s="100" t="s">
        <v>44</v>
      </c>
      <c r="D30" s="99" t="s">
        <v>300</v>
      </c>
      <c r="E30" s="99" t="s">
        <v>134</v>
      </c>
      <c r="F30" s="99" t="s">
        <v>147</v>
      </c>
      <c r="G30" s="99" t="s">
        <v>344</v>
      </c>
      <c r="H30" s="99"/>
      <c r="I30" s="74">
        <f t="shared" si="4"/>
        <v>384</v>
      </c>
      <c r="J30" s="74">
        <f t="shared" si="4"/>
        <v>384</v>
      </c>
      <c r="K30" s="271">
        <f t="shared" si="3"/>
        <v>0</v>
      </c>
      <c r="L30" s="74">
        <f t="shared" si="4"/>
        <v>450</v>
      </c>
      <c r="M30" s="74">
        <f t="shared" si="4"/>
        <v>450</v>
      </c>
    </row>
    <row r="31" spans="1:13" s="156" customFormat="1" ht="30">
      <c r="A31" s="111" t="s">
        <v>683</v>
      </c>
      <c r="B31" s="270" t="s">
        <v>23</v>
      </c>
      <c r="C31" s="100" t="s">
        <v>44</v>
      </c>
      <c r="D31" s="99" t="s">
        <v>300</v>
      </c>
      <c r="E31" s="99" t="s">
        <v>134</v>
      </c>
      <c r="F31" s="99" t="s">
        <v>147</v>
      </c>
      <c r="G31" s="99" t="s">
        <v>344</v>
      </c>
      <c r="H31" s="99" t="s">
        <v>682</v>
      </c>
      <c r="I31" s="74">
        <v>384</v>
      </c>
      <c r="J31" s="74">
        <v>384</v>
      </c>
      <c r="K31" s="271">
        <f t="shared" si="3"/>
        <v>0</v>
      </c>
      <c r="L31" s="74">
        <v>450</v>
      </c>
      <c r="M31" s="74">
        <v>450</v>
      </c>
    </row>
    <row r="32" spans="1:13" s="156" customFormat="1" ht="28.5">
      <c r="A32" s="127" t="s">
        <v>140</v>
      </c>
      <c r="B32" s="266">
        <v>110</v>
      </c>
      <c r="C32" s="95" t="s">
        <v>44</v>
      </c>
      <c r="D32" s="67" t="s">
        <v>341</v>
      </c>
      <c r="E32" s="67" t="s">
        <v>148</v>
      </c>
      <c r="F32" s="67" t="s">
        <v>149</v>
      </c>
      <c r="G32" s="67" t="s">
        <v>150</v>
      </c>
      <c r="H32" s="67"/>
      <c r="I32" s="36">
        <f aca="true" t="shared" si="5" ref="I32:M33">I33</f>
        <v>4612.6</v>
      </c>
      <c r="J32" s="36">
        <f t="shared" si="5"/>
        <v>4612.6</v>
      </c>
      <c r="K32" s="267">
        <f t="shared" si="3"/>
        <v>0</v>
      </c>
      <c r="L32" s="36">
        <f t="shared" si="5"/>
        <v>4794.5</v>
      </c>
      <c r="M32" s="36">
        <f t="shared" si="5"/>
        <v>4983.6</v>
      </c>
    </row>
    <row r="33" spans="1:13" s="156" customFormat="1" ht="28.5">
      <c r="A33" s="124" t="s">
        <v>346</v>
      </c>
      <c r="B33" s="266">
        <v>110</v>
      </c>
      <c r="C33" s="95" t="s">
        <v>44</v>
      </c>
      <c r="D33" s="67" t="s">
        <v>341</v>
      </c>
      <c r="E33" s="67" t="s">
        <v>131</v>
      </c>
      <c r="F33" s="67" t="s">
        <v>149</v>
      </c>
      <c r="G33" s="67" t="s">
        <v>150</v>
      </c>
      <c r="H33" s="67"/>
      <c r="I33" s="36">
        <f t="shared" si="5"/>
        <v>4612.6</v>
      </c>
      <c r="J33" s="36">
        <f t="shared" si="5"/>
        <v>4612.6</v>
      </c>
      <c r="K33" s="267">
        <f t="shared" si="3"/>
        <v>0</v>
      </c>
      <c r="L33" s="36">
        <f t="shared" si="5"/>
        <v>4794.5</v>
      </c>
      <c r="M33" s="36">
        <f t="shared" si="5"/>
        <v>4983.6</v>
      </c>
    </row>
    <row r="34" spans="1:13" s="268" customFormat="1" ht="28.5">
      <c r="A34" s="124" t="s">
        <v>347</v>
      </c>
      <c r="B34" s="266">
        <v>110</v>
      </c>
      <c r="C34" s="95" t="s">
        <v>44</v>
      </c>
      <c r="D34" s="67" t="s">
        <v>341</v>
      </c>
      <c r="E34" s="67" t="s">
        <v>131</v>
      </c>
      <c r="F34" s="67" t="s">
        <v>147</v>
      </c>
      <c r="G34" s="67" t="s">
        <v>150</v>
      </c>
      <c r="H34" s="67"/>
      <c r="I34" s="36">
        <f>I35+I38</f>
        <v>4612.6</v>
      </c>
      <c r="J34" s="36">
        <f>J35+J38</f>
        <v>4612.6</v>
      </c>
      <c r="K34" s="267">
        <f t="shared" si="3"/>
        <v>0</v>
      </c>
      <c r="L34" s="36">
        <f>L35+L38</f>
        <v>4794.5</v>
      </c>
      <c r="M34" s="36">
        <f>M35+M38</f>
        <v>4983.6</v>
      </c>
    </row>
    <row r="35" spans="1:13" s="269" customFormat="1" ht="30">
      <c r="A35" s="115" t="s">
        <v>348</v>
      </c>
      <c r="B35" s="270">
        <v>110</v>
      </c>
      <c r="C35" s="100" t="s">
        <v>44</v>
      </c>
      <c r="D35" s="99" t="s">
        <v>341</v>
      </c>
      <c r="E35" s="99" t="s">
        <v>131</v>
      </c>
      <c r="F35" s="99" t="s">
        <v>147</v>
      </c>
      <c r="G35" s="99" t="s">
        <v>349</v>
      </c>
      <c r="H35" s="99"/>
      <c r="I35" s="74">
        <f>I36+I37</f>
        <v>3815.6000000000004</v>
      </c>
      <c r="J35" s="74">
        <f>J36+J37</f>
        <v>3815.6000000000004</v>
      </c>
      <c r="K35" s="271">
        <f t="shared" si="3"/>
        <v>0</v>
      </c>
      <c r="L35" s="74">
        <f>L36+L37</f>
        <v>3968.2999999999997</v>
      </c>
      <c r="M35" s="74">
        <f>M36+M37</f>
        <v>4127</v>
      </c>
    </row>
    <row r="36" spans="1:13" s="156" customFormat="1" ht="60">
      <c r="A36" s="111" t="s">
        <v>680</v>
      </c>
      <c r="B36" s="270">
        <v>110</v>
      </c>
      <c r="C36" s="100" t="s">
        <v>44</v>
      </c>
      <c r="D36" s="99" t="s">
        <v>341</v>
      </c>
      <c r="E36" s="99" t="s">
        <v>131</v>
      </c>
      <c r="F36" s="99" t="s">
        <v>147</v>
      </c>
      <c r="G36" s="99" t="s">
        <v>349</v>
      </c>
      <c r="H36" s="99" t="s">
        <v>681</v>
      </c>
      <c r="I36" s="74">
        <f>3633.9-0.1</f>
        <v>3633.8</v>
      </c>
      <c r="J36" s="74">
        <f>3633.9-0.1</f>
        <v>3633.8</v>
      </c>
      <c r="K36" s="271">
        <f t="shared" si="3"/>
        <v>0</v>
      </c>
      <c r="L36" s="74">
        <v>3779.2</v>
      </c>
      <c r="M36" s="74">
        <v>3930.3</v>
      </c>
    </row>
    <row r="37" spans="1:13" s="268" customFormat="1" ht="30">
      <c r="A37" s="111" t="s">
        <v>683</v>
      </c>
      <c r="B37" s="270">
        <v>110</v>
      </c>
      <c r="C37" s="100" t="s">
        <v>44</v>
      </c>
      <c r="D37" s="99" t="s">
        <v>341</v>
      </c>
      <c r="E37" s="99" t="s">
        <v>131</v>
      </c>
      <c r="F37" s="99" t="s">
        <v>147</v>
      </c>
      <c r="G37" s="99" t="s">
        <v>349</v>
      </c>
      <c r="H37" s="99" t="s">
        <v>682</v>
      </c>
      <c r="I37" s="74">
        <v>181.8</v>
      </c>
      <c r="J37" s="74">
        <v>181.8</v>
      </c>
      <c r="K37" s="271">
        <f t="shared" si="3"/>
        <v>0</v>
      </c>
      <c r="L37" s="74">
        <v>189.1</v>
      </c>
      <c r="M37" s="74">
        <v>196.7</v>
      </c>
    </row>
    <row r="38" spans="1:13" s="156" customFormat="1" ht="15">
      <c r="A38" s="115" t="s">
        <v>350</v>
      </c>
      <c r="B38" s="270">
        <v>110</v>
      </c>
      <c r="C38" s="100" t="s">
        <v>44</v>
      </c>
      <c r="D38" s="99" t="s">
        <v>341</v>
      </c>
      <c r="E38" s="99" t="s">
        <v>131</v>
      </c>
      <c r="F38" s="99" t="s">
        <v>147</v>
      </c>
      <c r="G38" s="99" t="s">
        <v>351</v>
      </c>
      <c r="H38" s="99"/>
      <c r="I38" s="74">
        <f>I39+I40</f>
        <v>797</v>
      </c>
      <c r="J38" s="74">
        <f>J39+J40</f>
        <v>797</v>
      </c>
      <c r="K38" s="271">
        <f t="shared" si="3"/>
        <v>0</v>
      </c>
      <c r="L38" s="74">
        <f>L39+L40</f>
        <v>826.2</v>
      </c>
      <c r="M38" s="74">
        <f>M39+M40</f>
        <v>856.6</v>
      </c>
    </row>
    <row r="39" spans="1:13" s="156" customFormat="1" ht="60">
      <c r="A39" s="111" t="s">
        <v>680</v>
      </c>
      <c r="B39" s="270">
        <v>110</v>
      </c>
      <c r="C39" s="100" t="s">
        <v>44</v>
      </c>
      <c r="D39" s="99" t="s">
        <v>341</v>
      </c>
      <c r="E39" s="99" t="s">
        <v>131</v>
      </c>
      <c r="F39" s="99" t="s">
        <v>147</v>
      </c>
      <c r="G39" s="99" t="s">
        <v>351</v>
      </c>
      <c r="H39" s="99" t="s">
        <v>681</v>
      </c>
      <c r="I39" s="74">
        <f>769.5-16.7</f>
        <v>752.8</v>
      </c>
      <c r="J39" s="74">
        <f>769.5-16.7</f>
        <v>752.8</v>
      </c>
      <c r="K39" s="271">
        <f t="shared" si="3"/>
        <v>0</v>
      </c>
      <c r="L39" s="74">
        <v>797.7</v>
      </c>
      <c r="M39" s="74">
        <v>827</v>
      </c>
    </row>
    <row r="40" spans="1:13" s="268" customFormat="1" ht="30">
      <c r="A40" s="111" t="s">
        <v>683</v>
      </c>
      <c r="B40" s="270">
        <v>110</v>
      </c>
      <c r="C40" s="100" t="s">
        <v>44</v>
      </c>
      <c r="D40" s="99" t="s">
        <v>341</v>
      </c>
      <c r="E40" s="99" t="s">
        <v>131</v>
      </c>
      <c r="F40" s="99" t="s">
        <v>147</v>
      </c>
      <c r="G40" s="99" t="s">
        <v>351</v>
      </c>
      <c r="H40" s="99" t="s">
        <v>682</v>
      </c>
      <c r="I40" s="74">
        <f>27.5+16.7</f>
        <v>44.2</v>
      </c>
      <c r="J40" s="74">
        <f>27.5+16.7</f>
        <v>44.2</v>
      </c>
      <c r="K40" s="271">
        <f t="shared" si="3"/>
        <v>0</v>
      </c>
      <c r="L40" s="74">
        <v>28.5</v>
      </c>
      <c r="M40" s="74">
        <v>29.6</v>
      </c>
    </row>
    <row r="41" spans="1:13" s="268" customFormat="1" ht="28.5">
      <c r="A41" s="127" t="s">
        <v>396</v>
      </c>
      <c r="B41" s="266" t="s">
        <v>23</v>
      </c>
      <c r="C41" s="95" t="s">
        <v>44</v>
      </c>
      <c r="D41" s="95">
        <v>67</v>
      </c>
      <c r="E41" s="95">
        <v>0</v>
      </c>
      <c r="F41" s="95" t="s">
        <v>149</v>
      </c>
      <c r="G41" s="95" t="s">
        <v>150</v>
      </c>
      <c r="H41" s="94"/>
      <c r="I41" s="36">
        <f>I42+I46</f>
        <v>121820.3</v>
      </c>
      <c r="J41" s="36">
        <f>J42+J46</f>
        <v>121707.90000000001</v>
      </c>
      <c r="K41" s="267">
        <f t="shared" si="3"/>
        <v>-112.39999999999418</v>
      </c>
      <c r="L41" s="36">
        <f>L42+L46</f>
        <v>121141.49999999999</v>
      </c>
      <c r="M41" s="36">
        <f>M42+M46</f>
        <v>124480.59999999999</v>
      </c>
    </row>
    <row r="42" spans="1:13" s="268" customFormat="1" ht="42.75">
      <c r="A42" s="124" t="s">
        <v>402</v>
      </c>
      <c r="B42" s="266" t="s">
        <v>23</v>
      </c>
      <c r="C42" s="95" t="s">
        <v>44</v>
      </c>
      <c r="D42" s="67" t="s">
        <v>397</v>
      </c>
      <c r="E42" s="67" t="s">
        <v>132</v>
      </c>
      <c r="F42" s="67" t="s">
        <v>149</v>
      </c>
      <c r="G42" s="67" t="s">
        <v>150</v>
      </c>
      <c r="H42" s="67"/>
      <c r="I42" s="36">
        <f aca="true" t="shared" si="6" ref="I42:M44">I43</f>
        <v>4149.1</v>
      </c>
      <c r="J42" s="36">
        <f t="shared" si="6"/>
        <v>4149.1</v>
      </c>
      <c r="K42" s="267">
        <f t="shared" si="3"/>
        <v>0</v>
      </c>
      <c r="L42" s="36">
        <f t="shared" si="6"/>
        <v>4119.1</v>
      </c>
      <c r="M42" s="36">
        <f t="shared" si="6"/>
        <v>4119.1</v>
      </c>
    </row>
    <row r="43" spans="1:13" s="268" customFormat="1" ht="14.25">
      <c r="A43" s="125" t="s">
        <v>399</v>
      </c>
      <c r="B43" s="266" t="s">
        <v>23</v>
      </c>
      <c r="C43" s="95" t="s">
        <v>44</v>
      </c>
      <c r="D43" s="95" t="s">
        <v>397</v>
      </c>
      <c r="E43" s="95" t="s">
        <v>132</v>
      </c>
      <c r="F43" s="95" t="s">
        <v>147</v>
      </c>
      <c r="G43" s="95" t="s">
        <v>150</v>
      </c>
      <c r="H43" s="94"/>
      <c r="I43" s="36">
        <f t="shared" si="6"/>
        <v>4149.1</v>
      </c>
      <c r="J43" s="36">
        <f t="shared" si="6"/>
        <v>4149.1</v>
      </c>
      <c r="K43" s="267">
        <f t="shared" si="3"/>
        <v>0</v>
      </c>
      <c r="L43" s="36">
        <f t="shared" si="6"/>
        <v>4119.1</v>
      </c>
      <c r="M43" s="36">
        <f t="shared" si="6"/>
        <v>4119.1</v>
      </c>
    </row>
    <row r="44" spans="1:13" s="268" customFormat="1" ht="15">
      <c r="A44" s="111" t="s">
        <v>400</v>
      </c>
      <c r="B44" s="270" t="s">
        <v>23</v>
      </c>
      <c r="C44" s="100" t="s">
        <v>44</v>
      </c>
      <c r="D44" s="100" t="s">
        <v>397</v>
      </c>
      <c r="E44" s="100" t="s">
        <v>132</v>
      </c>
      <c r="F44" s="100" t="s">
        <v>147</v>
      </c>
      <c r="G44" s="100" t="s">
        <v>401</v>
      </c>
      <c r="H44" s="117"/>
      <c r="I44" s="74">
        <f t="shared" si="6"/>
        <v>4149.1</v>
      </c>
      <c r="J44" s="74">
        <f t="shared" si="6"/>
        <v>4149.1</v>
      </c>
      <c r="K44" s="271">
        <f t="shared" si="3"/>
        <v>0</v>
      </c>
      <c r="L44" s="74">
        <f t="shared" si="6"/>
        <v>4119.1</v>
      </c>
      <c r="M44" s="74">
        <f t="shared" si="6"/>
        <v>4119.1</v>
      </c>
    </row>
    <row r="45" spans="1:13" s="268" customFormat="1" ht="60">
      <c r="A45" s="111" t="s">
        <v>680</v>
      </c>
      <c r="B45" s="270" t="s">
        <v>23</v>
      </c>
      <c r="C45" s="100" t="s">
        <v>44</v>
      </c>
      <c r="D45" s="100" t="s">
        <v>397</v>
      </c>
      <c r="E45" s="100" t="s">
        <v>132</v>
      </c>
      <c r="F45" s="100" t="s">
        <v>147</v>
      </c>
      <c r="G45" s="100" t="s">
        <v>401</v>
      </c>
      <c r="H45" s="117">
        <v>100</v>
      </c>
      <c r="I45" s="74">
        <f>4119.1+30</f>
        <v>4149.1</v>
      </c>
      <c r="J45" s="74">
        <f>4119.1+30</f>
        <v>4149.1</v>
      </c>
      <c r="K45" s="271">
        <f t="shared" si="3"/>
        <v>0</v>
      </c>
      <c r="L45" s="74">
        <v>4119.1</v>
      </c>
      <c r="M45" s="74">
        <v>4119.1</v>
      </c>
    </row>
    <row r="46" spans="1:13" s="268" customFormat="1" ht="28.5">
      <c r="A46" s="124" t="s">
        <v>483</v>
      </c>
      <c r="B46" s="266" t="s">
        <v>23</v>
      </c>
      <c r="C46" s="95" t="s">
        <v>44</v>
      </c>
      <c r="D46" s="67" t="s">
        <v>397</v>
      </c>
      <c r="E46" s="67" t="s">
        <v>134</v>
      </c>
      <c r="F46" s="67" t="s">
        <v>149</v>
      </c>
      <c r="G46" s="67" t="s">
        <v>150</v>
      </c>
      <c r="H46" s="67"/>
      <c r="I46" s="36">
        <f>I47</f>
        <v>117671.2</v>
      </c>
      <c r="J46" s="36">
        <f>J47</f>
        <v>117558.8</v>
      </c>
      <c r="K46" s="267">
        <f t="shared" si="3"/>
        <v>-112.39999999999418</v>
      </c>
      <c r="L46" s="36">
        <f>L47</f>
        <v>117022.39999999998</v>
      </c>
      <c r="M46" s="36">
        <f>M47</f>
        <v>120361.49999999999</v>
      </c>
    </row>
    <row r="47" spans="1:13" s="268" customFormat="1" ht="14.25">
      <c r="A47" s="125" t="s">
        <v>399</v>
      </c>
      <c r="B47" s="266" t="s">
        <v>23</v>
      </c>
      <c r="C47" s="95" t="s">
        <v>44</v>
      </c>
      <c r="D47" s="95" t="s">
        <v>397</v>
      </c>
      <c r="E47" s="95" t="s">
        <v>134</v>
      </c>
      <c r="F47" s="95" t="s">
        <v>147</v>
      </c>
      <c r="G47" s="95" t="s">
        <v>150</v>
      </c>
      <c r="H47" s="94"/>
      <c r="I47" s="36">
        <f>I48+I52+I56+I60+I62+I54</f>
        <v>117671.2</v>
      </c>
      <c r="J47" s="36">
        <f>J48+J52+J56+J60+J62+J54</f>
        <v>117558.8</v>
      </c>
      <c r="K47" s="267">
        <f t="shared" si="3"/>
        <v>-112.39999999999418</v>
      </c>
      <c r="L47" s="36">
        <f>L48+L52+L56+L60+L62+L54</f>
        <v>117022.39999999998</v>
      </c>
      <c r="M47" s="36">
        <f>M48+M52+M56+M60+M62+M54</f>
        <v>120361.49999999999</v>
      </c>
    </row>
    <row r="48" spans="1:13" s="154" customFormat="1" ht="15">
      <c r="A48" s="111" t="s">
        <v>400</v>
      </c>
      <c r="B48" s="270" t="s">
        <v>23</v>
      </c>
      <c r="C48" s="100" t="s">
        <v>44</v>
      </c>
      <c r="D48" s="100" t="s">
        <v>397</v>
      </c>
      <c r="E48" s="100" t="s">
        <v>134</v>
      </c>
      <c r="F48" s="100" t="s">
        <v>147</v>
      </c>
      <c r="G48" s="100" t="s">
        <v>401</v>
      </c>
      <c r="H48" s="117"/>
      <c r="I48" s="74">
        <f>I49+I50+I51</f>
        <v>103858.3</v>
      </c>
      <c r="J48" s="74">
        <f>J49+J50+J51</f>
        <v>103903.3</v>
      </c>
      <c r="K48" s="271">
        <f t="shared" si="3"/>
        <v>45</v>
      </c>
      <c r="L48" s="74">
        <f>L49+L50+L51</f>
        <v>104728.79999999999</v>
      </c>
      <c r="M48" s="74">
        <f>M49+M50+M51</f>
        <v>108042.9</v>
      </c>
    </row>
    <row r="49" spans="1:13" s="154" customFormat="1" ht="60">
      <c r="A49" s="111" t="s">
        <v>680</v>
      </c>
      <c r="B49" s="270" t="s">
        <v>23</v>
      </c>
      <c r="C49" s="100" t="s">
        <v>44</v>
      </c>
      <c r="D49" s="100" t="s">
        <v>397</v>
      </c>
      <c r="E49" s="100" t="s">
        <v>134</v>
      </c>
      <c r="F49" s="100" t="s">
        <v>147</v>
      </c>
      <c r="G49" s="100" t="s">
        <v>401</v>
      </c>
      <c r="H49" s="117">
        <v>100</v>
      </c>
      <c r="I49" s="74">
        <f>91034.1+200</f>
        <v>91234.1</v>
      </c>
      <c r="J49" s="74">
        <f>91034.1+200+1857.9-1857.9</f>
        <v>91234.1</v>
      </c>
      <c r="K49" s="271">
        <f aca="true" t="shared" si="7" ref="K49:K64">J49-I49</f>
        <v>0</v>
      </c>
      <c r="L49" s="74">
        <v>91233</v>
      </c>
      <c r="M49" s="74">
        <v>91233</v>
      </c>
    </row>
    <row r="50" spans="1:13" s="154" customFormat="1" ht="30">
      <c r="A50" s="111" t="s">
        <v>683</v>
      </c>
      <c r="B50" s="270" t="s">
        <v>23</v>
      </c>
      <c r="C50" s="100" t="s">
        <v>44</v>
      </c>
      <c r="D50" s="100" t="s">
        <v>397</v>
      </c>
      <c r="E50" s="100" t="s">
        <v>134</v>
      </c>
      <c r="F50" s="100" t="s">
        <v>147</v>
      </c>
      <c r="G50" s="100" t="s">
        <v>401</v>
      </c>
      <c r="H50" s="117">
        <v>200</v>
      </c>
      <c r="I50" s="74">
        <f>7840.5-230</f>
        <v>7610.5</v>
      </c>
      <c r="J50" s="74">
        <f>7840.5-230</f>
        <v>7610.5</v>
      </c>
      <c r="K50" s="271">
        <f t="shared" si="7"/>
        <v>0</v>
      </c>
      <c r="L50" s="74">
        <v>7109.4</v>
      </c>
      <c r="M50" s="74">
        <v>10329.5</v>
      </c>
    </row>
    <row r="51" spans="1:13" s="154" customFormat="1" ht="15">
      <c r="A51" s="111" t="s">
        <v>684</v>
      </c>
      <c r="B51" s="270" t="s">
        <v>23</v>
      </c>
      <c r="C51" s="100" t="s">
        <v>44</v>
      </c>
      <c r="D51" s="100" t="s">
        <v>397</v>
      </c>
      <c r="E51" s="100" t="s">
        <v>134</v>
      </c>
      <c r="F51" s="100" t="s">
        <v>147</v>
      </c>
      <c r="G51" s="100" t="s">
        <v>401</v>
      </c>
      <c r="H51" s="117">
        <v>800</v>
      </c>
      <c r="I51" s="74">
        <v>5013.7</v>
      </c>
      <c r="J51" s="74">
        <f>5013.7+45</f>
        <v>5058.7</v>
      </c>
      <c r="K51" s="271">
        <f t="shared" si="7"/>
        <v>45</v>
      </c>
      <c r="L51" s="74">
        <v>6386.4</v>
      </c>
      <c r="M51" s="74">
        <v>6480.4</v>
      </c>
    </row>
    <row r="52" spans="1:13" s="268" customFormat="1" ht="34.5" customHeight="1" hidden="1">
      <c r="A52" s="111" t="s">
        <v>407</v>
      </c>
      <c r="B52" s="270" t="s">
        <v>23</v>
      </c>
      <c r="C52" s="100" t="s">
        <v>44</v>
      </c>
      <c r="D52" s="100" t="s">
        <v>397</v>
      </c>
      <c r="E52" s="100" t="s">
        <v>134</v>
      </c>
      <c r="F52" s="100" t="s">
        <v>147</v>
      </c>
      <c r="G52" s="100" t="s">
        <v>408</v>
      </c>
      <c r="H52" s="99"/>
      <c r="I52" s="74"/>
      <c r="J52" s="74">
        <f>J53</f>
        <v>0</v>
      </c>
      <c r="K52" s="271">
        <f t="shared" si="7"/>
        <v>0</v>
      </c>
      <c r="L52" s="74">
        <f>L53</f>
        <v>0</v>
      </c>
      <c r="M52" s="74">
        <f>M53</f>
        <v>0</v>
      </c>
    </row>
    <row r="53" spans="1:13" s="269" customFormat="1" ht="33.75" customHeight="1" hidden="1">
      <c r="A53" s="111" t="s">
        <v>680</v>
      </c>
      <c r="B53" s="270" t="s">
        <v>23</v>
      </c>
      <c r="C53" s="100" t="s">
        <v>44</v>
      </c>
      <c r="D53" s="100" t="s">
        <v>397</v>
      </c>
      <c r="E53" s="100" t="s">
        <v>134</v>
      </c>
      <c r="F53" s="100" t="s">
        <v>147</v>
      </c>
      <c r="G53" s="100" t="s">
        <v>408</v>
      </c>
      <c r="H53" s="99" t="s">
        <v>681</v>
      </c>
      <c r="I53" s="74"/>
      <c r="J53" s="273"/>
      <c r="K53" s="271">
        <f t="shared" si="7"/>
        <v>0</v>
      </c>
      <c r="L53" s="74"/>
      <c r="M53" s="74"/>
    </row>
    <row r="54" spans="1:13" s="269" customFormat="1" ht="48.75" customHeight="1">
      <c r="A54" s="111" t="s">
        <v>986</v>
      </c>
      <c r="B54" s="270" t="s">
        <v>23</v>
      </c>
      <c r="C54" s="100" t="s">
        <v>44</v>
      </c>
      <c r="D54" s="100" t="s">
        <v>397</v>
      </c>
      <c r="E54" s="100" t="s">
        <v>134</v>
      </c>
      <c r="F54" s="100" t="s">
        <v>147</v>
      </c>
      <c r="G54" s="100" t="s">
        <v>987</v>
      </c>
      <c r="H54" s="99"/>
      <c r="I54" s="74">
        <f>I55</f>
        <v>1543.2</v>
      </c>
      <c r="J54" s="74">
        <f>J55</f>
        <v>1543.2</v>
      </c>
      <c r="K54" s="271">
        <f t="shared" si="7"/>
        <v>0</v>
      </c>
      <c r="L54" s="74">
        <f>L55</f>
        <v>0</v>
      </c>
      <c r="M54" s="74">
        <f>M55</f>
        <v>0</v>
      </c>
    </row>
    <row r="55" spans="1:13" s="269" customFormat="1" ht="32.25" customHeight="1">
      <c r="A55" s="111" t="s">
        <v>683</v>
      </c>
      <c r="B55" s="270" t="s">
        <v>23</v>
      </c>
      <c r="C55" s="100" t="s">
        <v>44</v>
      </c>
      <c r="D55" s="100" t="s">
        <v>397</v>
      </c>
      <c r="E55" s="100" t="s">
        <v>134</v>
      </c>
      <c r="F55" s="100" t="s">
        <v>147</v>
      </c>
      <c r="G55" s="100" t="s">
        <v>987</v>
      </c>
      <c r="H55" s="117">
        <v>200</v>
      </c>
      <c r="I55" s="131">
        <v>1543.2</v>
      </c>
      <c r="J55" s="131">
        <v>1543.2</v>
      </c>
      <c r="K55" s="271">
        <f t="shared" si="7"/>
        <v>0</v>
      </c>
      <c r="L55" s="74"/>
      <c r="M55" s="74"/>
    </row>
    <row r="56" spans="1:13" s="269" customFormat="1" ht="15">
      <c r="A56" s="111" t="s">
        <v>327</v>
      </c>
      <c r="B56" s="270" t="s">
        <v>23</v>
      </c>
      <c r="C56" s="100" t="s">
        <v>44</v>
      </c>
      <c r="D56" s="100" t="s">
        <v>397</v>
      </c>
      <c r="E56" s="100" t="s">
        <v>134</v>
      </c>
      <c r="F56" s="100" t="s">
        <v>147</v>
      </c>
      <c r="G56" s="100" t="s">
        <v>328</v>
      </c>
      <c r="H56" s="99"/>
      <c r="I56" s="74">
        <f>I57+I58+I59</f>
        <v>10181.5</v>
      </c>
      <c r="J56" s="74">
        <f>J57+J58+J59</f>
        <v>10181.5</v>
      </c>
      <c r="K56" s="271">
        <f t="shared" si="7"/>
        <v>0</v>
      </c>
      <c r="L56" s="74">
        <f>L57+L58+L59</f>
        <v>10181.5</v>
      </c>
      <c r="M56" s="74">
        <f>M57+M58+M59</f>
        <v>10181.5</v>
      </c>
    </row>
    <row r="57" spans="1:13" s="269" customFormat="1" ht="60">
      <c r="A57" s="111" t="s">
        <v>680</v>
      </c>
      <c r="B57" s="270" t="s">
        <v>23</v>
      </c>
      <c r="C57" s="100" t="s">
        <v>44</v>
      </c>
      <c r="D57" s="100" t="s">
        <v>397</v>
      </c>
      <c r="E57" s="100" t="s">
        <v>134</v>
      </c>
      <c r="F57" s="100" t="s">
        <v>147</v>
      </c>
      <c r="G57" s="100" t="s">
        <v>328</v>
      </c>
      <c r="H57" s="99" t="s">
        <v>681</v>
      </c>
      <c r="I57" s="74">
        <v>8484.6</v>
      </c>
      <c r="J57" s="74">
        <v>8484.6</v>
      </c>
      <c r="K57" s="271">
        <f t="shared" si="7"/>
        <v>0</v>
      </c>
      <c r="L57" s="74">
        <v>8484.6</v>
      </c>
      <c r="M57" s="74">
        <v>8484.6</v>
      </c>
    </row>
    <row r="58" spans="1:13" s="269" customFormat="1" ht="30">
      <c r="A58" s="111" t="s">
        <v>683</v>
      </c>
      <c r="B58" s="270" t="s">
        <v>23</v>
      </c>
      <c r="C58" s="100" t="s">
        <v>44</v>
      </c>
      <c r="D58" s="100" t="s">
        <v>397</v>
      </c>
      <c r="E58" s="100" t="s">
        <v>134</v>
      </c>
      <c r="F58" s="100" t="s">
        <v>147</v>
      </c>
      <c r="G58" s="100" t="s">
        <v>328</v>
      </c>
      <c r="H58" s="99" t="s">
        <v>682</v>
      </c>
      <c r="I58" s="74">
        <v>1696.9</v>
      </c>
      <c r="J58" s="74">
        <v>1696.9</v>
      </c>
      <c r="K58" s="271">
        <f t="shared" si="7"/>
        <v>0</v>
      </c>
      <c r="L58" s="74">
        <v>1696.9</v>
      </c>
      <c r="M58" s="74">
        <v>1696.9</v>
      </c>
    </row>
    <row r="59" spans="1:13" s="269" customFormat="1" ht="15" hidden="1">
      <c r="A59" s="111" t="s">
        <v>684</v>
      </c>
      <c r="B59" s="270" t="s">
        <v>23</v>
      </c>
      <c r="C59" s="100" t="s">
        <v>44</v>
      </c>
      <c r="D59" s="100" t="s">
        <v>397</v>
      </c>
      <c r="E59" s="100" t="s">
        <v>134</v>
      </c>
      <c r="F59" s="100" t="s">
        <v>147</v>
      </c>
      <c r="G59" s="100" t="s">
        <v>328</v>
      </c>
      <c r="H59" s="99" t="s">
        <v>685</v>
      </c>
      <c r="I59" s="74"/>
      <c r="J59" s="273"/>
      <c r="K59" s="271">
        <f t="shared" si="7"/>
        <v>0</v>
      </c>
      <c r="L59" s="74"/>
      <c r="M59" s="74"/>
    </row>
    <row r="60" spans="1:13" s="269" customFormat="1" ht="15">
      <c r="A60" s="111" t="s">
        <v>413</v>
      </c>
      <c r="B60" s="270">
        <v>110</v>
      </c>
      <c r="C60" s="100" t="s">
        <v>44</v>
      </c>
      <c r="D60" s="100" t="s">
        <v>397</v>
      </c>
      <c r="E60" s="100" t="s">
        <v>134</v>
      </c>
      <c r="F60" s="100" t="s">
        <v>147</v>
      </c>
      <c r="G60" s="100" t="s">
        <v>414</v>
      </c>
      <c r="H60" s="99"/>
      <c r="I60" s="74">
        <f>I61</f>
        <v>1488.2</v>
      </c>
      <c r="J60" s="74">
        <f>J61</f>
        <v>1488.2</v>
      </c>
      <c r="K60" s="271">
        <f t="shared" si="7"/>
        <v>0</v>
      </c>
      <c r="L60" s="74">
        <f>L61</f>
        <v>1488.2</v>
      </c>
      <c r="M60" s="74">
        <f>M61</f>
        <v>1488.2</v>
      </c>
    </row>
    <row r="61" spans="1:13" s="269" customFormat="1" ht="60">
      <c r="A61" s="111" t="s">
        <v>680</v>
      </c>
      <c r="B61" s="270">
        <v>110</v>
      </c>
      <c r="C61" s="100" t="s">
        <v>44</v>
      </c>
      <c r="D61" s="100" t="s">
        <v>397</v>
      </c>
      <c r="E61" s="100" t="s">
        <v>134</v>
      </c>
      <c r="F61" s="100" t="s">
        <v>147</v>
      </c>
      <c r="G61" s="100" t="s">
        <v>414</v>
      </c>
      <c r="H61" s="99" t="s">
        <v>681</v>
      </c>
      <c r="I61" s="74">
        <v>1488.2</v>
      </c>
      <c r="J61" s="74">
        <v>1488.2</v>
      </c>
      <c r="K61" s="271">
        <f t="shared" si="7"/>
        <v>0</v>
      </c>
      <c r="L61" s="74">
        <v>1488.2</v>
      </c>
      <c r="M61" s="74">
        <v>1488.2</v>
      </c>
    </row>
    <row r="62" spans="1:13" s="269" customFormat="1" ht="30">
      <c r="A62" s="111" t="s">
        <v>415</v>
      </c>
      <c r="B62" s="274" t="s">
        <v>23</v>
      </c>
      <c r="C62" s="100" t="s">
        <v>44</v>
      </c>
      <c r="D62" s="100" t="s">
        <v>397</v>
      </c>
      <c r="E62" s="100" t="s">
        <v>134</v>
      </c>
      <c r="F62" s="100" t="s">
        <v>147</v>
      </c>
      <c r="G62" s="100" t="s">
        <v>416</v>
      </c>
      <c r="H62" s="128"/>
      <c r="I62" s="275">
        <f>I63+I64</f>
        <v>600</v>
      </c>
      <c r="J62" s="275">
        <f>J63+J64</f>
        <v>442.6</v>
      </c>
      <c r="K62" s="271">
        <f t="shared" si="7"/>
        <v>-157.39999999999998</v>
      </c>
      <c r="L62" s="275">
        <f>L63+L64</f>
        <v>623.9000000000001</v>
      </c>
      <c r="M62" s="275">
        <f>M63+M64</f>
        <v>648.9</v>
      </c>
    </row>
    <row r="63" spans="1:13" s="269" customFormat="1" ht="60">
      <c r="A63" s="111" t="s">
        <v>680</v>
      </c>
      <c r="B63" s="270" t="s">
        <v>23</v>
      </c>
      <c r="C63" s="100" t="s">
        <v>44</v>
      </c>
      <c r="D63" s="100" t="s">
        <v>397</v>
      </c>
      <c r="E63" s="100" t="s">
        <v>134</v>
      </c>
      <c r="F63" s="100" t="s">
        <v>147</v>
      </c>
      <c r="G63" s="100" t="s">
        <v>416</v>
      </c>
      <c r="H63" s="117">
        <v>100</v>
      </c>
      <c r="I63" s="275">
        <v>545.5</v>
      </c>
      <c r="J63" s="275">
        <f>545.5-121</f>
        <v>424.5</v>
      </c>
      <c r="K63" s="271">
        <f t="shared" si="7"/>
        <v>-121</v>
      </c>
      <c r="L63" s="74">
        <v>567.2</v>
      </c>
      <c r="M63" s="74">
        <v>589.9</v>
      </c>
    </row>
    <row r="64" spans="1:13" s="269" customFormat="1" ht="30">
      <c r="A64" s="111" t="s">
        <v>683</v>
      </c>
      <c r="B64" s="270" t="s">
        <v>23</v>
      </c>
      <c r="C64" s="100" t="s">
        <v>44</v>
      </c>
      <c r="D64" s="100" t="s">
        <v>397</v>
      </c>
      <c r="E64" s="100" t="s">
        <v>134</v>
      </c>
      <c r="F64" s="100" t="s">
        <v>147</v>
      </c>
      <c r="G64" s="100" t="s">
        <v>416</v>
      </c>
      <c r="H64" s="99" t="s">
        <v>682</v>
      </c>
      <c r="I64" s="74">
        <v>54.5</v>
      </c>
      <c r="J64" s="74">
        <f>54.5-36.4</f>
        <v>18.1</v>
      </c>
      <c r="K64" s="271">
        <f t="shared" si="7"/>
        <v>-36.4</v>
      </c>
      <c r="L64" s="74">
        <v>56.7</v>
      </c>
      <c r="M64" s="74">
        <v>59</v>
      </c>
    </row>
    <row r="65" spans="1:13" s="269" customFormat="1" ht="15">
      <c r="A65" s="127" t="s">
        <v>45</v>
      </c>
      <c r="B65" s="266" t="s">
        <v>23</v>
      </c>
      <c r="C65" s="95" t="s">
        <v>46</v>
      </c>
      <c r="D65" s="67"/>
      <c r="E65" s="67"/>
      <c r="F65" s="67"/>
      <c r="G65" s="67"/>
      <c r="H65" s="67"/>
      <c r="I65" s="36">
        <f aca="true" t="shared" si="8" ref="I65:M69">I66</f>
        <v>72.6</v>
      </c>
      <c r="J65" s="36">
        <f t="shared" si="8"/>
        <v>72.6</v>
      </c>
      <c r="K65" s="267">
        <f aca="true" t="shared" si="9" ref="K65:K75">J65-I65</f>
        <v>0</v>
      </c>
      <c r="L65" s="36">
        <f t="shared" si="8"/>
        <v>39</v>
      </c>
      <c r="M65" s="36">
        <f t="shared" si="8"/>
        <v>115.1</v>
      </c>
    </row>
    <row r="66" spans="1:13" s="269" customFormat="1" ht="15">
      <c r="A66" s="127" t="s">
        <v>424</v>
      </c>
      <c r="B66" s="266" t="s">
        <v>23</v>
      </c>
      <c r="C66" s="95" t="s">
        <v>46</v>
      </c>
      <c r="D66" s="67" t="s">
        <v>425</v>
      </c>
      <c r="E66" s="67" t="s">
        <v>148</v>
      </c>
      <c r="F66" s="67" t="s">
        <v>149</v>
      </c>
      <c r="G66" s="67" t="s">
        <v>150</v>
      </c>
      <c r="H66" s="67"/>
      <c r="I66" s="36">
        <f t="shared" si="8"/>
        <v>72.6</v>
      </c>
      <c r="J66" s="36">
        <f t="shared" si="8"/>
        <v>72.6</v>
      </c>
      <c r="K66" s="267">
        <f t="shared" si="9"/>
        <v>0</v>
      </c>
      <c r="L66" s="36">
        <f t="shared" si="8"/>
        <v>39</v>
      </c>
      <c r="M66" s="36">
        <f t="shared" si="8"/>
        <v>115.1</v>
      </c>
    </row>
    <row r="67" spans="1:13" s="269" customFormat="1" ht="15">
      <c r="A67" s="127" t="s">
        <v>399</v>
      </c>
      <c r="B67" s="266" t="s">
        <v>23</v>
      </c>
      <c r="C67" s="95" t="s">
        <v>46</v>
      </c>
      <c r="D67" s="67" t="s">
        <v>425</v>
      </c>
      <c r="E67" s="67" t="s">
        <v>329</v>
      </c>
      <c r="F67" s="67" t="s">
        <v>149</v>
      </c>
      <c r="G67" s="67" t="s">
        <v>150</v>
      </c>
      <c r="H67" s="67"/>
      <c r="I67" s="36">
        <f t="shared" si="8"/>
        <v>72.6</v>
      </c>
      <c r="J67" s="36">
        <f t="shared" si="8"/>
        <v>72.6</v>
      </c>
      <c r="K67" s="267">
        <f t="shared" si="9"/>
        <v>0</v>
      </c>
      <c r="L67" s="36">
        <f t="shared" si="8"/>
        <v>39</v>
      </c>
      <c r="M67" s="36">
        <f t="shared" si="8"/>
        <v>115.1</v>
      </c>
    </row>
    <row r="68" spans="1:13" s="268" customFormat="1" ht="14.25">
      <c r="A68" s="124" t="s">
        <v>399</v>
      </c>
      <c r="B68" s="266" t="s">
        <v>23</v>
      </c>
      <c r="C68" s="95" t="s">
        <v>46</v>
      </c>
      <c r="D68" s="67" t="s">
        <v>425</v>
      </c>
      <c r="E68" s="67" t="s">
        <v>329</v>
      </c>
      <c r="F68" s="67" t="s">
        <v>147</v>
      </c>
      <c r="G68" s="67" t="s">
        <v>150</v>
      </c>
      <c r="H68" s="67"/>
      <c r="I68" s="36">
        <f t="shared" si="8"/>
        <v>72.6</v>
      </c>
      <c r="J68" s="36">
        <f t="shared" si="8"/>
        <v>72.6</v>
      </c>
      <c r="K68" s="267">
        <f t="shared" si="9"/>
        <v>0</v>
      </c>
      <c r="L68" s="36">
        <f t="shared" si="8"/>
        <v>39</v>
      </c>
      <c r="M68" s="36">
        <f t="shared" si="8"/>
        <v>115.1</v>
      </c>
    </row>
    <row r="69" spans="1:13" s="269" customFormat="1" ht="45">
      <c r="A69" s="111" t="s">
        <v>457</v>
      </c>
      <c r="B69" s="274" t="s">
        <v>23</v>
      </c>
      <c r="C69" s="100" t="s">
        <v>46</v>
      </c>
      <c r="D69" s="100" t="s">
        <v>425</v>
      </c>
      <c r="E69" s="100" t="s">
        <v>329</v>
      </c>
      <c r="F69" s="99" t="s">
        <v>147</v>
      </c>
      <c r="G69" s="100" t="s">
        <v>458</v>
      </c>
      <c r="H69" s="131"/>
      <c r="I69" s="275">
        <f t="shared" si="8"/>
        <v>72.6</v>
      </c>
      <c r="J69" s="275">
        <f t="shared" si="8"/>
        <v>72.6</v>
      </c>
      <c r="K69" s="271">
        <f t="shared" si="9"/>
        <v>0</v>
      </c>
      <c r="L69" s="275">
        <f t="shared" si="8"/>
        <v>39</v>
      </c>
      <c r="M69" s="275">
        <f t="shared" si="8"/>
        <v>115.1</v>
      </c>
    </row>
    <row r="70" spans="1:13" s="269" customFormat="1" ht="30">
      <c r="A70" s="111" t="s">
        <v>683</v>
      </c>
      <c r="B70" s="274" t="s">
        <v>23</v>
      </c>
      <c r="C70" s="100" t="s">
        <v>46</v>
      </c>
      <c r="D70" s="100" t="s">
        <v>425</v>
      </c>
      <c r="E70" s="100" t="s">
        <v>329</v>
      </c>
      <c r="F70" s="99" t="s">
        <v>147</v>
      </c>
      <c r="G70" s="100" t="s">
        <v>458</v>
      </c>
      <c r="H70" s="131">
        <v>200</v>
      </c>
      <c r="I70" s="275">
        <f>14+58.6</f>
        <v>72.6</v>
      </c>
      <c r="J70" s="275">
        <f>14+58.6</f>
        <v>72.6</v>
      </c>
      <c r="K70" s="271">
        <f t="shared" si="9"/>
        <v>0</v>
      </c>
      <c r="L70" s="74">
        <f>14.8+24.2</f>
        <v>39</v>
      </c>
      <c r="M70" s="74">
        <v>115.1</v>
      </c>
    </row>
    <row r="71" spans="1:13" s="269" customFormat="1" ht="15">
      <c r="A71" s="127" t="s">
        <v>51</v>
      </c>
      <c r="B71" s="266" t="s">
        <v>23</v>
      </c>
      <c r="C71" s="95" t="s">
        <v>52</v>
      </c>
      <c r="D71" s="67"/>
      <c r="E71" s="67"/>
      <c r="F71" s="67"/>
      <c r="G71" s="67"/>
      <c r="H71" s="67"/>
      <c r="I71" s="36">
        <f>I72+I83+I107+I113</f>
        <v>70552.09999999999</v>
      </c>
      <c r="J71" s="36">
        <f>J72+J83+J107+J113</f>
        <v>70052.09999999999</v>
      </c>
      <c r="K71" s="267">
        <f t="shared" si="9"/>
        <v>-500</v>
      </c>
      <c r="L71" s="36">
        <f>L72+L83+L107+L113</f>
        <v>62927.6</v>
      </c>
      <c r="M71" s="36">
        <f>M72+M83+M107+M113</f>
        <v>64758.799999999996</v>
      </c>
    </row>
    <row r="72" spans="1:13" s="269" customFormat="1" ht="42.75">
      <c r="A72" s="110" t="s">
        <v>331</v>
      </c>
      <c r="B72" s="266" t="s">
        <v>23</v>
      </c>
      <c r="C72" s="95" t="s">
        <v>52</v>
      </c>
      <c r="D72" s="67" t="s">
        <v>300</v>
      </c>
      <c r="E72" s="67" t="s">
        <v>148</v>
      </c>
      <c r="F72" s="67" t="s">
        <v>149</v>
      </c>
      <c r="G72" s="67" t="s">
        <v>150</v>
      </c>
      <c r="H72" s="67"/>
      <c r="I72" s="36">
        <f aca="true" t="shared" si="10" ref="I72:M73">I73</f>
        <v>680</v>
      </c>
      <c r="J72" s="36">
        <f t="shared" si="10"/>
        <v>680</v>
      </c>
      <c r="K72" s="267">
        <f t="shared" si="9"/>
        <v>0</v>
      </c>
      <c r="L72" s="36">
        <f t="shared" si="10"/>
        <v>620</v>
      </c>
      <c r="M72" s="36">
        <f t="shared" si="10"/>
        <v>620</v>
      </c>
    </row>
    <row r="73" spans="1:13" s="269" customFormat="1" ht="42.75">
      <c r="A73" s="97" t="s">
        <v>777</v>
      </c>
      <c r="B73" s="266" t="s">
        <v>23</v>
      </c>
      <c r="C73" s="95" t="s">
        <v>52</v>
      </c>
      <c r="D73" s="67" t="s">
        <v>300</v>
      </c>
      <c r="E73" s="67" t="s">
        <v>134</v>
      </c>
      <c r="F73" s="67" t="s">
        <v>149</v>
      </c>
      <c r="G73" s="67" t="s">
        <v>150</v>
      </c>
      <c r="H73" s="67"/>
      <c r="I73" s="36">
        <f t="shared" si="10"/>
        <v>680</v>
      </c>
      <c r="J73" s="36">
        <f t="shared" si="10"/>
        <v>680</v>
      </c>
      <c r="K73" s="267">
        <f t="shared" si="9"/>
        <v>0</v>
      </c>
      <c r="L73" s="36">
        <f t="shared" si="10"/>
        <v>620</v>
      </c>
      <c r="M73" s="36">
        <f t="shared" si="10"/>
        <v>620</v>
      </c>
    </row>
    <row r="74" spans="1:13" s="269" customFormat="1" ht="28.5">
      <c r="A74" s="97" t="s">
        <v>778</v>
      </c>
      <c r="B74" s="266" t="s">
        <v>23</v>
      </c>
      <c r="C74" s="95" t="s">
        <v>52</v>
      </c>
      <c r="D74" s="67" t="s">
        <v>300</v>
      </c>
      <c r="E74" s="67" t="s">
        <v>134</v>
      </c>
      <c r="F74" s="67" t="s">
        <v>147</v>
      </c>
      <c r="G74" s="67" t="s">
        <v>150</v>
      </c>
      <c r="H74" s="67"/>
      <c r="I74" s="36">
        <f>I75+I77+I79+I81</f>
        <v>680</v>
      </c>
      <c r="J74" s="36">
        <f>J75+J77+J79+J81</f>
        <v>680</v>
      </c>
      <c r="K74" s="267">
        <f t="shared" si="9"/>
        <v>0</v>
      </c>
      <c r="L74" s="36">
        <f>L75+L77+L79+L81</f>
        <v>620</v>
      </c>
      <c r="M74" s="36">
        <f>M75+M77+M79+M81</f>
        <v>620</v>
      </c>
    </row>
    <row r="75" spans="1:13" s="269" customFormat="1" ht="30">
      <c r="A75" s="102" t="s">
        <v>779</v>
      </c>
      <c r="B75" s="270" t="s">
        <v>23</v>
      </c>
      <c r="C75" s="100" t="s">
        <v>52</v>
      </c>
      <c r="D75" s="99" t="s">
        <v>300</v>
      </c>
      <c r="E75" s="99" t="s">
        <v>134</v>
      </c>
      <c r="F75" s="99" t="s">
        <v>147</v>
      </c>
      <c r="G75" s="100" t="s">
        <v>342</v>
      </c>
      <c r="H75" s="99"/>
      <c r="I75" s="74">
        <f>I76</f>
        <v>250</v>
      </c>
      <c r="J75" s="74">
        <f>J76</f>
        <v>250</v>
      </c>
      <c r="K75" s="271">
        <f t="shared" si="9"/>
        <v>0</v>
      </c>
      <c r="L75" s="74">
        <f>L76</f>
        <v>250</v>
      </c>
      <c r="M75" s="74">
        <f>M76</f>
        <v>250</v>
      </c>
    </row>
    <row r="76" spans="1:13" s="269" customFormat="1" ht="30">
      <c r="A76" s="102" t="s">
        <v>683</v>
      </c>
      <c r="B76" s="270" t="s">
        <v>23</v>
      </c>
      <c r="C76" s="100" t="s">
        <v>52</v>
      </c>
      <c r="D76" s="99" t="s">
        <v>300</v>
      </c>
      <c r="E76" s="99" t="s">
        <v>134</v>
      </c>
      <c r="F76" s="99" t="s">
        <v>147</v>
      </c>
      <c r="G76" s="100" t="s">
        <v>342</v>
      </c>
      <c r="H76" s="99" t="s">
        <v>682</v>
      </c>
      <c r="I76" s="74">
        <f>200+50</f>
        <v>250</v>
      </c>
      <c r="J76" s="74">
        <f>200+50</f>
        <v>250</v>
      </c>
      <c r="K76" s="271">
        <f aca="true" t="shared" si="11" ref="K76:K82">J76-I76</f>
        <v>0</v>
      </c>
      <c r="L76" s="74">
        <v>250</v>
      </c>
      <c r="M76" s="74">
        <v>250</v>
      </c>
    </row>
    <row r="77" spans="1:13" s="269" customFormat="1" ht="45">
      <c r="A77" s="102" t="s">
        <v>780</v>
      </c>
      <c r="B77" s="270" t="s">
        <v>23</v>
      </c>
      <c r="C77" s="100" t="s">
        <v>52</v>
      </c>
      <c r="D77" s="99" t="s">
        <v>300</v>
      </c>
      <c r="E77" s="99" t="s">
        <v>134</v>
      </c>
      <c r="F77" s="99" t="s">
        <v>147</v>
      </c>
      <c r="G77" s="100" t="s">
        <v>816</v>
      </c>
      <c r="H77" s="99"/>
      <c r="I77" s="74">
        <f>I78</f>
        <v>70</v>
      </c>
      <c r="J77" s="74">
        <f>J78</f>
        <v>70</v>
      </c>
      <c r="K77" s="271">
        <f t="shared" si="11"/>
        <v>0</v>
      </c>
      <c r="L77" s="74">
        <f>L78</f>
        <v>100</v>
      </c>
      <c r="M77" s="74">
        <f>M78</f>
        <v>100</v>
      </c>
    </row>
    <row r="78" spans="1:13" s="269" customFormat="1" ht="30">
      <c r="A78" s="102" t="s">
        <v>683</v>
      </c>
      <c r="B78" s="270" t="s">
        <v>23</v>
      </c>
      <c r="C78" s="100" t="s">
        <v>52</v>
      </c>
      <c r="D78" s="99" t="s">
        <v>300</v>
      </c>
      <c r="E78" s="99" t="s">
        <v>134</v>
      </c>
      <c r="F78" s="99" t="s">
        <v>147</v>
      </c>
      <c r="G78" s="100" t="s">
        <v>816</v>
      </c>
      <c r="H78" s="99" t="s">
        <v>682</v>
      </c>
      <c r="I78" s="74">
        <v>70</v>
      </c>
      <c r="J78" s="74">
        <v>70</v>
      </c>
      <c r="K78" s="271">
        <f t="shared" si="11"/>
        <v>0</v>
      </c>
      <c r="L78" s="74">
        <v>100</v>
      </c>
      <c r="M78" s="74">
        <v>100</v>
      </c>
    </row>
    <row r="79" spans="1:13" s="269" customFormat="1" ht="30">
      <c r="A79" s="102" t="s">
        <v>781</v>
      </c>
      <c r="B79" s="270" t="s">
        <v>23</v>
      </c>
      <c r="C79" s="100" t="s">
        <v>52</v>
      </c>
      <c r="D79" s="99" t="s">
        <v>300</v>
      </c>
      <c r="E79" s="99" t="s">
        <v>134</v>
      </c>
      <c r="F79" s="99" t="s">
        <v>147</v>
      </c>
      <c r="G79" s="100" t="s">
        <v>817</v>
      </c>
      <c r="H79" s="99"/>
      <c r="I79" s="74">
        <f>I80</f>
        <v>200</v>
      </c>
      <c r="J79" s="74">
        <f>J80</f>
        <v>200</v>
      </c>
      <c r="K79" s="271">
        <f t="shared" si="11"/>
        <v>0</v>
      </c>
      <c r="L79" s="74">
        <f>L80</f>
        <v>100</v>
      </c>
      <c r="M79" s="74">
        <f>M80</f>
        <v>100</v>
      </c>
    </row>
    <row r="80" spans="1:13" s="269" customFormat="1" ht="30">
      <c r="A80" s="102" t="s">
        <v>683</v>
      </c>
      <c r="B80" s="270" t="s">
        <v>23</v>
      </c>
      <c r="C80" s="100" t="s">
        <v>52</v>
      </c>
      <c r="D80" s="99" t="s">
        <v>300</v>
      </c>
      <c r="E80" s="99" t="s">
        <v>134</v>
      </c>
      <c r="F80" s="99" t="s">
        <v>147</v>
      </c>
      <c r="G80" s="100" t="s">
        <v>817</v>
      </c>
      <c r="H80" s="99" t="s">
        <v>682</v>
      </c>
      <c r="I80" s="74">
        <f>100+100</f>
        <v>200</v>
      </c>
      <c r="J80" s="74">
        <f>100+100</f>
        <v>200</v>
      </c>
      <c r="K80" s="271">
        <f t="shared" si="11"/>
        <v>0</v>
      </c>
      <c r="L80" s="74">
        <v>100</v>
      </c>
      <c r="M80" s="74">
        <v>100</v>
      </c>
    </row>
    <row r="81" spans="1:13" s="269" customFormat="1" ht="30">
      <c r="A81" s="102" t="s">
        <v>782</v>
      </c>
      <c r="B81" s="270" t="s">
        <v>23</v>
      </c>
      <c r="C81" s="100" t="s">
        <v>52</v>
      </c>
      <c r="D81" s="99" t="s">
        <v>300</v>
      </c>
      <c r="E81" s="99" t="s">
        <v>134</v>
      </c>
      <c r="F81" s="99" t="s">
        <v>147</v>
      </c>
      <c r="G81" s="100" t="s">
        <v>818</v>
      </c>
      <c r="H81" s="99"/>
      <c r="I81" s="74">
        <f>I82</f>
        <v>160</v>
      </c>
      <c r="J81" s="74">
        <f>J82</f>
        <v>160</v>
      </c>
      <c r="K81" s="271">
        <f t="shared" si="11"/>
        <v>0</v>
      </c>
      <c r="L81" s="74">
        <f>L82</f>
        <v>170</v>
      </c>
      <c r="M81" s="74">
        <f>M82</f>
        <v>170</v>
      </c>
    </row>
    <row r="82" spans="1:13" s="269" customFormat="1" ht="30">
      <c r="A82" s="102" t="s">
        <v>683</v>
      </c>
      <c r="B82" s="270" t="s">
        <v>23</v>
      </c>
      <c r="C82" s="100" t="s">
        <v>52</v>
      </c>
      <c r="D82" s="99" t="s">
        <v>300</v>
      </c>
      <c r="E82" s="99" t="s">
        <v>134</v>
      </c>
      <c r="F82" s="99" t="s">
        <v>147</v>
      </c>
      <c r="G82" s="100" t="s">
        <v>818</v>
      </c>
      <c r="H82" s="99" t="s">
        <v>682</v>
      </c>
      <c r="I82" s="74">
        <v>160</v>
      </c>
      <c r="J82" s="74">
        <v>160</v>
      </c>
      <c r="K82" s="271">
        <f t="shared" si="11"/>
        <v>0</v>
      </c>
      <c r="L82" s="74">
        <v>170</v>
      </c>
      <c r="M82" s="74">
        <v>170</v>
      </c>
    </row>
    <row r="83" spans="1:13" s="268" customFormat="1" ht="42.75">
      <c r="A83" s="116" t="s">
        <v>783</v>
      </c>
      <c r="B83" s="266">
        <v>110</v>
      </c>
      <c r="C83" s="95" t="s">
        <v>52</v>
      </c>
      <c r="D83" s="67" t="s">
        <v>345</v>
      </c>
      <c r="E83" s="67" t="s">
        <v>148</v>
      </c>
      <c r="F83" s="67" t="s">
        <v>149</v>
      </c>
      <c r="G83" s="95" t="s">
        <v>150</v>
      </c>
      <c r="H83" s="67"/>
      <c r="I83" s="36">
        <f>I84+I97+I101</f>
        <v>3198.3</v>
      </c>
      <c r="J83" s="36">
        <f>J84+J97+J101</f>
        <v>3198.3</v>
      </c>
      <c r="K83" s="267">
        <f aca="true" t="shared" si="12" ref="K83:K115">J83-I83</f>
        <v>0</v>
      </c>
      <c r="L83" s="36">
        <f>L84+L97+L101</f>
        <v>2693.2</v>
      </c>
      <c r="M83" s="36">
        <f>M84+M97+M101</f>
        <v>2593.2</v>
      </c>
    </row>
    <row r="84" spans="1:13" s="269" customFormat="1" ht="15">
      <c r="A84" s="124" t="s">
        <v>378</v>
      </c>
      <c r="B84" s="266" t="s">
        <v>23</v>
      </c>
      <c r="C84" s="95" t="s">
        <v>52</v>
      </c>
      <c r="D84" s="67" t="s">
        <v>345</v>
      </c>
      <c r="E84" s="67" t="s">
        <v>131</v>
      </c>
      <c r="F84" s="67" t="s">
        <v>149</v>
      </c>
      <c r="G84" s="67" t="s">
        <v>150</v>
      </c>
      <c r="H84" s="67"/>
      <c r="I84" s="36">
        <f>I85+I94</f>
        <v>792.8</v>
      </c>
      <c r="J84" s="36">
        <f>J85+J94</f>
        <v>792.8</v>
      </c>
      <c r="K84" s="267">
        <f t="shared" si="12"/>
        <v>0</v>
      </c>
      <c r="L84" s="36">
        <f>L85+L94</f>
        <v>957.5</v>
      </c>
      <c r="M84" s="36">
        <f>M85+M94</f>
        <v>857.5</v>
      </c>
    </row>
    <row r="85" spans="1:13" s="268" customFormat="1" ht="42.75">
      <c r="A85" s="125" t="s">
        <v>379</v>
      </c>
      <c r="B85" s="266" t="s">
        <v>23</v>
      </c>
      <c r="C85" s="95" t="s">
        <v>52</v>
      </c>
      <c r="D85" s="67" t="s">
        <v>345</v>
      </c>
      <c r="E85" s="67" t="s">
        <v>131</v>
      </c>
      <c r="F85" s="67" t="s">
        <v>147</v>
      </c>
      <c r="G85" s="67" t="s">
        <v>150</v>
      </c>
      <c r="H85" s="67"/>
      <c r="I85" s="36">
        <f>I86+I88+I90+I92</f>
        <v>765.8</v>
      </c>
      <c r="J85" s="36">
        <f>J86+J88+J90+J92</f>
        <v>765.8</v>
      </c>
      <c r="K85" s="267">
        <f t="shared" si="12"/>
        <v>0</v>
      </c>
      <c r="L85" s="36">
        <f>L86+L88+L90+L92</f>
        <v>930.5</v>
      </c>
      <c r="M85" s="36">
        <f>M86+M88+M90+M92</f>
        <v>830.5</v>
      </c>
    </row>
    <row r="86" spans="1:13" s="269" customFormat="1" ht="75">
      <c r="A86" s="115" t="s">
        <v>380</v>
      </c>
      <c r="B86" s="270" t="s">
        <v>23</v>
      </c>
      <c r="C86" s="100" t="s">
        <v>52</v>
      </c>
      <c r="D86" s="99" t="s">
        <v>345</v>
      </c>
      <c r="E86" s="99" t="s">
        <v>131</v>
      </c>
      <c r="F86" s="99" t="s">
        <v>147</v>
      </c>
      <c r="G86" s="99" t="s">
        <v>381</v>
      </c>
      <c r="H86" s="99"/>
      <c r="I86" s="74">
        <f>I87</f>
        <v>100</v>
      </c>
      <c r="J86" s="74">
        <f>J87</f>
        <v>100</v>
      </c>
      <c r="K86" s="271">
        <f t="shared" si="12"/>
        <v>0</v>
      </c>
      <c r="L86" s="74">
        <f>L87</f>
        <v>100</v>
      </c>
      <c r="M86" s="74">
        <f>M87</f>
        <v>0</v>
      </c>
    </row>
    <row r="87" spans="1:13" s="269" customFormat="1" ht="30">
      <c r="A87" s="111" t="s">
        <v>683</v>
      </c>
      <c r="B87" s="270" t="s">
        <v>23</v>
      </c>
      <c r="C87" s="100" t="s">
        <v>52</v>
      </c>
      <c r="D87" s="99" t="s">
        <v>345</v>
      </c>
      <c r="E87" s="99" t="s">
        <v>131</v>
      </c>
      <c r="F87" s="99" t="s">
        <v>147</v>
      </c>
      <c r="G87" s="99" t="s">
        <v>381</v>
      </c>
      <c r="H87" s="99" t="s">
        <v>682</v>
      </c>
      <c r="I87" s="74">
        <v>100</v>
      </c>
      <c r="J87" s="74">
        <v>100</v>
      </c>
      <c r="K87" s="271">
        <f t="shared" si="12"/>
        <v>0</v>
      </c>
      <c r="L87" s="74">
        <v>100</v>
      </c>
      <c r="M87" s="74"/>
    </row>
    <row r="88" spans="1:13" s="269" customFormat="1" ht="30">
      <c r="A88" s="115" t="s">
        <v>382</v>
      </c>
      <c r="B88" s="270" t="s">
        <v>23</v>
      </c>
      <c r="C88" s="100" t="s">
        <v>52</v>
      </c>
      <c r="D88" s="99" t="s">
        <v>345</v>
      </c>
      <c r="E88" s="99" t="s">
        <v>131</v>
      </c>
      <c r="F88" s="99" t="s">
        <v>147</v>
      </c>
      <c r="G88" s="99" t="s">
        <v>383</v>
      </c>
      <c r="H88" s="99"/>
      <c r="I88" s="74">
        <f>I89</f>
        <v>0</v>
      </c>
      <c r="J88" s="74">
        <f>J89</f>
        <v>0</v>
      </c>
      <c r="K88" s="271">
        <f t="shared" si="12"/>
        <v>0</v>
      </c>
      <c r="L88" s="74">
        <f>L89</f>
        <v>124</v>
      </c>
      <c r="M88" s="74">
        <f>M89</f>
        <v>124</v>
      </c>
    </row>
    <row r="89" spans="1:13" s="269" customFormat="1" ht="30">
      <c r="A89" s="111" t="s">
        <v>683</v>
      </c>
      <c r="B89" s="270" t="s">
        <v>23</v>
      </c>
      <c r="C89" s="100" t="s">
        <v>52</v>
      </c>
      <c r="D89" s="99" t="s">
        <v>345</v>
      </c>
      <c r="E89" s="99" t="s">
        <v>131</v>
      </c>
      <c r="F89" s="99" t="s">
        <v>147</v>
      </c>
      <c r="G89" s="99" t="s">
        <v>383</v>
      </c>
      <c r="H89" s="99" t="s">
        <v>682</v>
      </c>
      <c r="I89" s="74"/>
      <c r="J89" s="74"/>
      <c r="K89" s="271">
        <f t="shared" si="12"/>
        <v>0</v>
      </c>
      <c r="L89" s="74">
        <v>124</v>
      </c>
      <c r="M89" s="74">
        <v>124</v>
      </c>
    </row>
    <row r="90" spans="1:13" s="269" customFormat="1" ht="45">
      <c r="A90" s="115" t="s">
        <v>823</v>
      </c>
      <c r="B90" s="270" t="s">
        <v>23</v>
      </c>
      <c r="C90" s="100" t="s">
        <v>52</v>
      </c>
      <c r="D90" s="99" t="s">
        <v>345</v>
      </c>
      <c r="E90" s="99" t="s">
        <v>131</v>
      </c>
      <c r="F90" s="99" t="s">
        <v>147</v>
      </c>
      <c r="G90" s="99" t="s">
        <v>384</v>
      </c>
      <c r="H90" s="99"/>
      <c r="I90" s="74">
        <f>I91</f>
        <v>6.5</v>
      </c>
      <c r="J90" s="74">
        <f>J91</f>
        <v>6.5</v>
      </c>
      <c r="K90" s="271">
        <f t="shared" si="12"/>
        <v>0</v>
      </c>
      <c r="L90" s="74">
        <f>L91</f>
        <v>6.5</v>
      </c>
      <c r="M90" s="74">
        <f>M91</f>
        <v>6.5</v>
      </c>
    </row>
    <row r="91" spans="1:13" s="269" customFormat="1" ht="30">
      <c r="A91" s="111" t="s">
        <v>683</v>
      </c>
      <c r="B91" s="270" t="s">
        <v>23</v>
      </c>
      <c r="C91" s="100" t="s">
        <v>52</v>
      </c>
      <c r="D91" s="99" t="s">
        <v>345</v>
      </c>
      <c r="E91" s="99" t="s">
        <v>131</v>
      </c>
      <c r="F91" s="99" t="s">
        <v>147</v>
      </c>
      <c r="G91" s="99" t="s">
        <v>384</v>
      </c>
      <c r="H91" s="99" t="s">
        <v>682</v>
      </c>
      <c r="I91" s="74">
        <v>6.5</v>
      </c>
      <c r="J91" s="74">
        <v>6.5</v>
      </c>
      <c r="K91" s="271">
        <f t="shared" si="12"/>
        <v>0</v>
      </c>
      <c r="L91" s="74">
        <v>6.5</v>
      </c>
      <c r="M91" s="74">
        <v>6.5</v>
      </c>
    </row>
    <row r="92" spans="1:13" s="269" customFormat="1" ht="30">
      <c r="A92" s="115" t="s">
        <v>385</v>
      </c>
      <c r="B92" s="270" t="s">
        <v>23</v>
      </c>
      <c r="C92" s="100" t="s">
        <v>52</v>
      </c>
      <c r="D92" s="99" t="s">
        <v>345</v>
      </c>
      <c r="E92" s="99" t="s">
        <v>131</v>
      </c>
      <c r="F92" s="99" t="s">
        <v>147</v>
      </c>
      <c r="G92" s="99" t="s">
        <v>386</v>
      </c>
      <c r="H92" s="99"/>
      <c r="I92" s="74">
        <f>I93</f>
        <v>659.3</v>
      </c>
      <c r="J92" s="74">
        <f>J93</f>
        <v>659.3</v>
      </c>
      <c r="K92" s="271">
        <f t="shared" si="12"/>
        <v>0</v>
      </c>
      <c r="L92" s="74">
        <f>L93</f>
        <v>700</v>
      </c>
      <c r="M92" s="74">
        <f>M93</f>
        <v>700</v>
      </c>
    </row>
    <row r="93" spans="1:13" s="269" customFormat="1" ht="30">
      <c r="A93" s="111" t="s">
        <v>683</v>
      </c>
      <c r="B93" s="270" t="s">
        <v>23</v>
      </c>
      <c r="C93" s="100" t="s">
        <v>52</v>
      </c>
      <c r="D93" s="99" t="s">
        <v>345</v>
      </c>
      <c r="E93" s="99" t="s">
        <v>131</v>
      </c>
      <c r="F93" s="99" t="s">
        <v>147</v>
      </c>
      <c r="G93" s="99" t="s">
        <v>386</v>
      </c>
      <c r="H93" s="99" t="s">
        <v>682</v>
      </c>
      <c r="I93" s="74">
        <v>659.3</v>
      </c>
      <c r="J93" s="74">
        <v>659.3</v>
      </c>
      <c r="K93" s="271">
        <f t="shared" si="12"/>
        <v>0</v>
      </c>
      <c r="L93" s="74">
        <v>700</v>
      </c>
      <c r="M93" s="74">
        <v>700</v>
      </c>
    </row>
    <row r="94" spans="1:13" s="268" customFormat="1" ht="28.5">
      <c r="A94" s="116" t="s">
        <v>784</v>
      </c>
      <c r="B94" s="266">
        <v>110</v>
      </c>
      <c r="C94" s="95" t="s">
        <v>52</v>
      </c>
      <c r="D94" s="67" t="s">
        <v>345</v>
      </c>
      <c r="E94" s="67" t="s">
        <v>131</v>
      </c>
      <c r="F94" s="67" t="s">
        <v>160</v>
      </c>
      <c r="G94" s="67" t="s">
        <v>150</v>
      </c>
      <c r="H94" s="67"/>
      <c r="I94" s="36">
        <f aca="true" t="shared" si="13" ref="I94:M95">I95</f>
        <v>27</v>
      </c>
      <c r="J94" s="36">
        <f t="shared" si="13"/>
        <v>27</v>
      </c>
      <c r="K94" s="267">
        <f t="shared" si="12"/>
        <v>0</v>
      </c>
      <c r="L94" s="36">
        <f t="shared" si="13"/>
        <v>27</v>
      </c>
      <c r="M94" s="36">
        <f t="shared" si="13"/>
        <v>27</v>
      </c>
    </row>
    <row r="95" spans="1:13" s="269" customFormat="1" ht="30">
      <c r="A95" s="102" t="s">
        <v>377</v>
      </c>
      <c r="B95" s="270">
        <v>110</v>
      </c>
      <c r="C95" s="100" t="s">
        <v>52</v>
      </c>
      <c r="D95" s="99" t="s">
        <v>345</v>
      </c>
      <c r="E95" s="99" t="s">
        <v>131</v>
      </c>
      <c r="F95" s="99" t="s">
        <v>160</v>
      </c>
      <c r="G95" s="99" t="s">
        <v>744</v>
      </c>
      <c r="H95" s="99"/>
      <c r="I95" s="74">
        <f t="shared" si="13"/>
        <v>27</v>
      </c>
      <c r="J95" s="74">
        <f t="shared" si="13"/>
        <v>27</v>
      </c>
      <c r="K95" s="271">
        <f t="shared" si="12"/>
        <v>0</v>
      </c>
      <c r="L95" s="74">
        <f t="shared" si="13"/>
        <v>27</v>
      </c>
      <c r="M95" s="74">
        <f t="shared" si="13"/>
        <v>27</v>
      </c>
    </row>
    <row r="96" spans="1:13" s="269" customFormat="1" ht="30">
      <c r="A96" s="102" t="s">
        <v>683</v>
      </c>
      <c r="B96" s="270">
        <v>110</v>
      </c>
      <c r="C96" s="100" t="s">
        <v>52</v>
      </c>
      <c r="D96" s="99" t="s">
        <v>345</v>
      </c>
      <c r="E96" s="99" t="s">
        <v>131</v>
      </c>
      <c r="F96" s="99" t="s">
        <v>160</v>
      </c>
      <c r="G96" s="99" t="s">
        <v>744</v>
      </c>
      <c r="H96" s="99" t="s">
        <v>682</v>
      </c>
      <c r="I96" s="74">
        <v>27</v>
      </c>
      <c r="J96" s="74">
        <v>27</v>
      </c>
      <c r="K96" s="271">
        <f t="shared" si="12"/>
        <v>0</v>
      </c>
      <c r="L96" s="74">
        <v>27</v>
      </c>
      <c r="M96" s="74">
        <v>27</v>
      </c>
    </row>
    <row r="97" spans="1:13" s="276" customFormat="1" ht="42.75">
      <c r="A97" s="116" t="s">
        <v>785</v>
      </c>
      <c r="B97" s="266" t="s">
        <v>23</v>
      </c>
      <c r="C97" s="95" t="s">
        <v>52</v>
      </c>
      <c r="D97" s="67" t="s">
        <v>345</v>
      </c>
      <c r="E97" s="67" t="s">
        <v>132</v>
      </c>
      <c r="F97" s="67" t="s">
        <v>149</v>
      </c>
      <c r="G97" s="67" t="s">
        <v>150</v>
      </c>
      <c r="H97" s="67"/>
      <c r="I97" s="36">
        <f aca="true" t="shared" si="14" ref="I97:M99">I98</f>
        <v>51.7</v>
      </c>
      <c r="J97" s="36">
        <f t="shared" si="14"/>
        <v>51.7</v>
      </c>
      <c r="K97" s="267">
        <f t="shared" si="12"/>
        <v>0</v>
      </c>
      <c r="L97" s="36">
        <f t="shared" si="14"/>
        <v>51.7</v>
      </c>
      <c r="M97" s="36">
        <f t="shared" si="14"/>
        <v>51.7</v>
      </c>
    </row>
    <row r="98" spans="1:13" s="276" customFormat="1" ht="28.5">
      <c r="A98" s="116" t="s">
        <v>786</v>
      </c>
      <c r="B98" s="266" t="s">
        <v>23</v>
      </c>
      <c r="C98" s="95" t="s">
        <v>52</v>
      </c>
      <c r="D98" s="67" t="s">
        <v>345</v>
      </c>
      <c r="E98" s="67" t="s">
        <v>132</v>
      </c>
      <c r="F98" s="67" t="s">
        <v>147</v>
      </c>
      <c r="G98" s="67" t="s">
        <v>150</v>
      </c>
      <c r="H98" s="67"/>
      <c r="I98" s="36">
        <f t="shared" si="14"/>
        <v>51.7</v>
      </c>
      <c r="J98" s="36">
        <f t="shared" si="14"/>
        <v>51.7</v>
      </c>
      <c r="K98" s="267">
        <f t="shared" si="12"/>
        <v>0</v>
      </c>
      <c r="L98" s="36">
        <f t="shared" si="14"/>
        <v>51.7</v>
      </c>
      <c r="M98" s="36">
        <f t="shared" si="14"/>
        <v>51.7</v>
      </c>
    </row>
    <row r="99" spans="1:13" ht="30">
      <c r="A99" s="115" t="s">
        <v>337</v>
      </c>
      <c r="B99" s="270" t="s">
        <v>23</v>
      </c>
      <c r="C99" s="100" t="s">
        <v>52</v>
      </c>
      <c r="D99" s="99" t="s">
        <v>345</v>
      </c>
      <c r="E99" s="99" t="s">
        <v>132</v>
      </c>
      <c r="F99" s="99" t="s">
        <v>147</v>
      </c>
      <c r="G99" s="99" t="s">
        <v>338</v>
      </c>
      <c r="H99" s="99"/>
      <c r="I99" s="74">
        <f t="shared" si="14"/>
        <v>51.7</v>
      </c>
      <c r="J99" s="74">
        <f t="shared" si="14"/>
        <v>51.7</v>
      </c>
      <c r="K99" s="271">
        <f t="shared" si="12"/>
        <v>0</v>
      </c>
      <c r="L99" s="74">
        <f t="shared" si="14"/>
        <v>51.7</v>
      </c>
      <c r="M99" s="74">
        <f t="shared" si="14"/>
        <v>51.7</v>
      </c>
    </row>
    <row r="100" spans="1:13" ht="30">
      <c r="A100" s="111" t="s">
        <v>683</v>
      </c>
      <c r="B100" s="270" t="s">
        <v>23</v>
      </c>
      <c r="C100" s="100" t="s">
        <v>52</v>
      </c>
      <c r="D100" s="99" t="s">
        <v>345</v>
      </c>
      <c r="E100" s="99" t="s">
        <v>132</v>
      </c>
      <c r="F100" s="99" t="s">
        <v>147</v>
      </c>
      <c r="G100" s="99" t="s">
        <v>338</v>
      </c>
      <c r="H100" s="99" t="s">
        <v>682</v>
      </c>
      <c r="I100" s="74">
        <v>51.7</v>
      </c>
      <c r="J100" s="74">
        <v>51.7</v>
      </c>
      <c r="K100" s="271">
        <f t="shared" si="12"/>
        <v>0</v>
      </c>
      <c r="L100" s="74">
        <v>51.7</v>
      </c>
      <c r="M100" s="74">
        <v>51.7</v>
      </c>
    </row>
    <row r="101" spans="1:13" s="269" customFormat="1" ht="42.75">
      <c r="A101" s="124" t="s">
        <v>478</v>
      </c>
      <c r="B101" s="266" t="s">
        <v>23</v>
      </c>
      <c r="C101" s="95" t="s">
        <v>52</v>
      </c>
      <c r="D101" s="67" t="s">
        <v>345</v>
      </c>
      <c r="E101" s="67" t="s">
        <v>134</v>
      </c>
      <c r="F101" s="67" t="s">
        <v>149</v>
      </c>
      <c r="G101" s="67" t="s">
        <v>150</v>
      </c>
      <c r="H101" s="67"/>
      <c r="I101" s="36">
        <f>I102</f>
        <v>2353.8</v>
      </c>
      <c r="J101" s="36">
        <f>J102</f>
        <v>2353.8</v>
      </c>
      <c r="K101" s="267">
        <f t="shared" si="12"/>
        <v>0</v>
      </c>
      <c r="L101" s="36">
        <f>L102</f>
        <v>1684</v>
      </c>
      <c r="M101" s="36">
        <f>M102</f>
        <v>1684</v>
      </c>
    </row>
    <row r="102" spans="1:13" s="268" customFormat="1" ht="57">
      <c r="A102" s="125" t="s">
        <v>787</v>
      </c>
      <c r="B102" s="266" t="s">
        <v>23</v>
      </c>
      <c r="C102" s="95" t="s">
        <v>52</v>
      </c>
      <c r="D102" s="67" t="s">
        <v>345</v>
      </c>
      <c r="E102" s="67" t="s">
        <v>134</v>
      </c>
      <c r="F102" s="67" t="s">
        <v>147</v>
      </c>
      <c r="G102" s="67" t="s">
        <v>150</v>
      </c>
      <c r="H102" s="67"/>
      <c r="I102" s="36">
        <f>I103+I105</f>
        <v>2353.8</v>
      </c>
      <c r="J102" s="36">
        <f>J103+J105</f>
        <v>2353.8</v>
      </c>
      <c r="K102" s="267">
        <f t="shared" si="12"/>
        <v>0</v>
      </c>
      <c r="L102" s="36">
        <f>L103+L105</f>
        <v>1684</v>
      </c>
      <c r="M102" s="36">
        <f>M103+M105</f>
        <v>1684</v>
      </c>
    </row>
    <row r="103" spans="1:13" s="268" customFormat="1" ht="30">
      <c r="A103" s="107" t="s">
        <v>703</v>
      </c>
      <c r="B103" s="270" t="s">
        <v>23</v>
      </c>
      <c r="C103" s="100" t="s">
        <v>52</v>
      </c>
      <c r="D103" s="99" t="s">
        <v>345</v>
      </c>
      <c r="E103" s="99" t="s">
        <v>134</v>
      </c>
      <c r="F103" s="99" t="s">
        <v>147</v>
      </c>
      <c r="G103" s="99" t="s">
        <v>394</v>
      </c>
      <c r="H103" s="99"/>
      <c r="I103" s="74">
        <f>I104</f>
        <v>674.4</v>
      </c>
      <c r="J103" s="74">
        <f>J104</f>
        <v>674.4</v>
      </c>
      <c r="K103" s="271">
        <f t="shared" si="12"/>
        <v>0</v>
      </c>
      <c r="L103" s="74">
        <f>L104</f>
        <v>800</v>
      </c>
      <c r="M103" s="74">
        <f>M104</f>
        <v>800</v>
      </c>
    </row>
    <row r="104" spans="1:13" s="269" customFormat="1" ht="30">
      <c r="A104" s="115" t="s">
        <v>688</v>
      </c>
      <c r="B104" s="270" t="s">
        <v>23</v>
      </c>
      <c r="C104" s="100" t="s">
        <v>52</v>
      </c>
      <c r="D104" s="99" t="s">
        <v>345</v>
      </c>
      <c r="E104" s="99" t="s">
        <v>134</v>
      </c>
      <c r="F104" s="99" t="s">
        <v>147</v>
      </c>
      <c r="G104" s="99" t="s">
        <v>394</v>
      </c>
      <c r="H104" s="99" t="s">
        <v>689</v>
      </c>
      <c r="I104" s="74">
        <v>674.4</v>
      </c>
      <c r="J104" s="74">
        <v>674.4</v>
      </c>
      <c r="K104" s="271">
        <f t="shared" si="12"/>
        <v>0</v>
      </c>
      <c r="L104" s="74">
        <v>800</v>
      </c>
      <c r="M104" s="74">
        <v>800</v>
      </c>
    </row>
    <row r="105" spans="1:13" s="269" customFormat="1" ht="98.25" customHeight="1">
      <c r="A105" s="153" t="s">
        <v>1043</v>
      </c>
      <c r="B105" s="270" t="s">
        <v>23</v>
      </c>
      <c r="C105" s="100" t="s">
        <v>52</v>
      </c>
      <c r="D105" s="99" t="s">
        <v>345</v>
      </c>
      <c r="E105" s="99" t="s">
        <v>134</v>
      </c>
      <c r="F105" s="99" t="s">
        <v>147</v>
      </c>
      <c r="G105" s="99" t="s">
        <v>395</v>
      </c>
      <c r="H105" s="99"/>
      <c r="I105" s="74">
        <f>I106</f>
        <v>1679.4</v>
      </c>
      <c r="J105" s="74">
        <f>J106</f>
        <v>1679.4</v>
      </c>
      <c r="K105" s="271">
        <f t="shared" si="12"/>
        <v>0</v>
      </c>
      <c r="L105" s="74">
        <f>L106</f>
        <v>884</v>
      </c>
      <c r="M105" s="74">
        <f>M106</f>
        <v>884</v>
      </c>
    </row>
    <row r="106" spans="1:13" s="269" customFormat="1" ht="30">
      <c r="A106" s="115" t="s">
        <v>688</v>
      </c>
      <c r="B106" s="270" t="s">
        <v>23</v>
      </c>
      <c r="C106" s="100" t="s">
        <v>52</v>
      </c>
      <c r="D106" s="99" t="s">
        <v>345</v>
      </c>
      <c r="E106" s="99" t="s">
        <v>134</v>
      </c>
      <c r="F106" s="99" t="s">
        <v>147</v>
      </c>
      <c r="G106" s="99" t="s">
        <v>395</v>
      </c>
      <c r="H106" s="99" t="s">
        <v>689</v>
      </c>
      <c r="I106" s="74">
        <v>1679.4</v>
      </c>
      <c r="J106" s="74">
        <v>1679.4</v>
      </c>
      <c r="K106" s="271">
        <f t="shared" si="12"/>
        <v>0</v>
      </c>
      <c r="L106" s="74">
        <v>884</v>
      </c>
      <c r="M106" s="74">
        <v>884</v>
      </c>
    </row>
    <row r="107" spans="1:13" s="269" customFormat="1" ht="28.5">
      <c r="A107" s="127" t="s">
        <v>396</v>
      </c>
      <c r="B107" s="266" t="s">
        <v>23</v>
      </c>
      <c r="C107" s="95" t="s">
        <v>52</v>
      </c>
      <c r="D107" s="95" t="s">
        <v>397</v>
      </c>
      <c r="E107" s="95" t="s">
        <v>148</v>
      </c>
      <c r="F107" s="95" t="s">
        <v>149</v>
      </c>
      <c r="G107" s="95" t="s">
        <v>150</v>
      </c>
      <c r="H107" s="99"/>
      <c r="I107" s="36">
        <f aca="true" t="shared" si="15" ref="I107:M109">I108</f>
        <v>5759.599999999999</v>
      </c>
      <c r="J107" s="36">
        <f t="shared" si="15"/>
        <v>5759.599999999999</v>
      </c>
      <c r="K107" s="267">
        <f t="shared" si="12"/>
        <v>0</v>
      </c>
      <c r="L107" s="36">
        <f t="shared" si="15"/>
        <v>4295</v>
      </c>
      <c r="M107" s="36">
        <f t="shared" si="15"/>
        <v>4431.5</v>
      </c>
    </row>
    <row r="108" spans="1:13" s="269" customFormat="1" ht="28.5">
      <c r="A108" s="124" t="s">
        <v>483</v>
      </c>
      <c r="B108" s="266" t="s">
        <v>23</v>
      </c>
      <c r="C108" s="95" t="s">
        <v>52</v>
      </c>
      <c r="D108" s="67" t="s">
        <v>397</v>
      </c>
      <c r="E108" s="67" t="s">
        <v>134</v>
      </c>
      <c r="F108" s="67" t="s">
        <v>149</v>
      </c>
      <c r="G108" s="67" t="s">
        <v>150</v>
      </c>
      <c r="H108" s="99"/>
      <c r="I108" s="36">
        <f t="shared" si="15"/>
        <v>5759.599999999999</v>
      </c>
      <c r="J108" s="36">
        <f t="shared" si="15"/>
        <v>5759.599999999999</v>
      </c>
      <c r="K108" s="267">
        <f t="shared" si="12"/>
        <v>0</v>
      </c>
      <c r="L108" s="36">
        <f t="shared" si="15"/>
        <v>4295</v>
      </c>
      <c r="M108" s="36">
        <f t="shared" si="15"/>
        <v>4431.5</v>
      </c>
    </row>
    <row r="109" spans="1:13" s="268" customFormat="1" ht="14.25">
      <c r="A109" s="125" t="s">
        <v>399</v>
      </c>
      <c r="B109" s="266" t="s">
        <v>23</v>
      </c>
      <c r="C109" s="95" t="s">
        <v>52</v>
      </c>
      <c r="D109" s="95" t="s">
        <v>397</v>
      </c>
      <c r="E109" s="95" t="s">
        <v>134</v>
      </c>
      <c r="F109" s="95" t="s">
        <v>147</v>
      </c>
      <c r="G109" s="95" t="s">
        <v>150</v>
      </c>
      <c r="H109" s="94"/>
      <c r="I109" s="36">
        <f t="shared" si="15"/>
        <v>5759.599999999999</v>
      </c>
      <c r="J109" s="36">
        <f t="shared" si="15"/>
        <v>5759.599999999999</v>
      </c>
      <c r="K109" s="267">
        <f t="shared" si="12"/>
        <v>0</v>
      </c>
      <c r="L109" s="36">
        <f t="shared" si="15"/>
        <v>4295</v>
      </c>
      <c r="M109" s="36">
        <f t="shared" si="15"/>
        <v>4431.5</v>
      </c>
    </row>
    <row r="110" spans="1:13" s="269" customFormat="1" ht="75">
      <c r="A110" s="111" t="s">
        <v>411</v>
      </c>
      <c r="B110" s="270" t="s">
        <v>23</v>
      </c>
      <c r="C110" s="100" t="s">
        <v>52</v>
      </c>
      <c r="D110" s="100" t="s">
        <v>397</v>
      </c>
      <c r="E110" s="100" t="s">
        <v>134</v>
      </c>
      <c r="F110" s="100" t="s">
        <v>147</v>
      </c>
      <c r="G110" s="100" t="s">
        <v>412</v>
      </c>
      <c r="H110" s="117"/>
      <c r="I110" s="74">
        <f>I111+I112</f>
        <v>5759.599999999999</v>
      </c>
      <c r="J110" s="74">
        <f>J111+J112</f>
        <v>5759.599999999999</v>
      </c>
      <c r="K110" s="271">
        <f t="shared" si="12"/>
        <v>0</v>
      </c>
      <c r="L110" s="74">
        <f>L111+L112</f>
        <v>4295</v>
      </c>
      <c r="M110" s="74">
        <f>M111+M112</f>
        <v>4431.5</v>
      </c>
    </row>
    <row r="111" spans="1:13" s="269" customFormat="1" ht="60">
      <c r="A111" s="111" t="s">
        <v>680</v>
      </c>
      <c r="B111" s="270" t="s">
        <v>23</v>
      </c>
      <c r="C111" s="100" t="s">
        <v>52</v>
      </c>
      <c r="D111" s="100" t="s">
        <v>397</v>
      </c>
      <c r="E111" s="100" t="s">
        <v>134</v>
      </c>
      <c r="F111" s="100" t="s">
        <v>147</v>
      </c>
      <c r="G111" s="100" t="s">
        <v>412</v>
      </c>
      <c r="H111" s="117">
        <v>100</v>
      </c>
      <c r="I111" s="74">
        <f>4498-335.1</f>
        <v>4162.9</v>
      </c>
      <c r="J111" s="74">
        <f>4498-335.1</f>
        <v>4162.9</v>
      </c>
      <c r="K111" s="271">
        <f t="shared" si="12"/>
        <v>0</v>
      </c>
      <c r="L111" s="74">
        <f>3413-286.8</f>
        <v>3126.2</v>
      </c>
      <c r="M111" s="74">
        <v>4431.5</v>
      </c>
    </row>
    <row r="112" spans="1:13" s="269" customFormat="1" ht="30">
      <c r="A112" s="111" t="s">
        <v>683</v>
      </c>
      <c r="B112" s="270" t="s">
        <v>23</v>
      </c>
      <c r="C112" s="100" t="s">
        <v>52</v>
      </c>
      <c r="D112" s="100" t="s">
        <v>397</v>
      </c>
      <c r="E112" s="100" t="s">
        <v>134</v>
      </c>
      <c r="F112" s="100" t="s">
        <v>147</v>
      </c>
      <c r="G112" s="100" t="s">
        <v>412</v>
      </c>
      <c r="H112" s="117">
        <v>200</v>
      </c>
      <c r="I112" s="74">
        <f>1540.2+56.5</f>
        <v>1596.7</v>
      </c>
      <c r="J112" s="74">
        <f>1540.2+56.5</f>
        <v>1596.7</v>
      </c>
      <c r="K112" s="271">
        <f t="shared" si="12"/>
        <v>0</v>
      </c>
      <c r="L112" s="74">
        <v>1168.8</v>
      </c>
      <c r="M112" s="74"/>
    </row>
    <row r="113" spans="1:13" s="268" customFormat="1" ht="14.25">
      <c r="A113" s="127" t="s">
        <v>424</v>
      </c>
      <c r="B113" s="266" t="s">
        <v>23</v>
      </c>
      <c r="C113" s="95" t="s">
        <v>52</v>
      </c>
      <c r="D113" s="95" t="s">
        <v>425</v>
      </c>
      <c r="E113" s="95" t="s">
        <v>148</v>
      </c>
      <c r="F113" s="95" t="s">
        <v>149</v>
      </c>
      <c r="G113" s="95" t="s">
        <v>150</v>
      </c>
      <c r="H113" s="94"/>
      <c r="I113" s="36">
        <f aca="true" t="shared" si="16" ref="I113:M114">I114</f>
        <v>60914.2</v>
      </c>
      <c r="J113" s="36">
        <f t="shared" si="16"/>
        <v>60414.2</v>
      </c>
      <c r="K113" s="267">
        <f t="shared" si="12"/>
        <v>-500</v>
      </c>
      <c r="L113" s="36">
        <f t="shared" si="16"/>
        <v>55319.4</v>
      </c>
      <c r="M113" s="36">
        <f t="shared" si="16"/>
        <v>57114.1</v>
      </c>
    </row>
    <row r="114" spans="1:13" s="269" customFormat="1" ht="15">
      <c r="A114" s="124" t="s">
        <v>399</v>
      </c>
      <c r="B114" s="266" t="s">
        <v>23</v>
      </c>
      <c r="C114" s="95" t="s">
        <v>52</v>
      </c>
      <c r="D114" s="67" t="s">
        <v>425</v>
      </c>
      <c r="E114" s="67" t="s">
        <v>329</v>
      </c>
      <c r="F114" s="67" t="s">
        <v>149</v>
      </c>
      <c r="G114" s="67" t="s">
        <v>150</v>
      </c>
      <c r="H114" s="67"/>
      <c r="I114" s="36">
        <f t="shared" si="16"/>
        <v>60914.2</v>
      </c>
      <c r="J114" s="36">
        <f t="shared" si="16"/>
        <v>60414.2</v>
      </c>
      <c r="K114" s="267">
        <f t="shared" si="12"/>
        <v>-500</v>
      </c>
      <c r="L114" s="36">
        <f t="shared" si="16"/>
        <v>55319.4</v>
      </c>
      <c r="M114" s="36">
        <f t="shared" si="16"/>
        <v>57114.1</v>
      </c>
    </row>
    <row r="115" spans="1:13" s="268" customFormat="1" ht="14.25">
      <c r="A115" s="125" t="s">
        <v>399</v>
      </c>
      <c r="B115" s="266" t="s">
        <v>23</v>
      </c>
      <c r="C115" s="95" t="s">
        <v>52</v>
      </c>
      <c r="D115" s="95" t="s">
        <v>425</v>
      </c>
      <c r="E115" s="95" t="s">
        <v>329</v>
      </c>
      <c r="F115" s="67" t="s">
        <v>147</v>
      </c>
      <c r="G115" s="67" t="s">
        <v>150</v>
      </c>
      <c r="H115" s="67"/>
      <c r="I115" s="36">
        <f>I123+I127+I129+I116+I131+I133+I135</f>
        <v>60914.2</v>
      </c>
      <c r="J115" s="36">
        <f>J123+J127+J129+J116+J131+J133+J135</f>
        <v>60414.2</v>
      </c>
      <c r="K115" s="267">
        <f t="shared" si="12"/>
        <v>-500</v>
      </c>
      <c r="L115" s="36">
        <f>L123+L127+L129+L116+L131+L133+L135</f>
        <v>55319.4</v>
      </c>
      <c r="M115" s="36">
        <f>M123+M127+M129+M116+M131+M133+M135</f>
        <v>57114.1</v>
      </c>
    </row>
    <row r="116" spans="1:13" s="269" customFormat="1" ht="15">
      <c r="A116" s="109" t="s">
        <v>189</v>
      </c>
      <c r="B116" s="270" t="s">
        <v>23</v>
      </c>
      <c r="C116" s="100" t="s">
        <v>52</v>
      </c>
      <c r="D116" s="100" t="s">
        <v>425</v>
      </c>
      <c r="E116" s="100" t="s">
        <v>329</v>
      </c>
      <c r="F116" s="100" t="s">
        <v>147</v>
      </c>
      <c r="G116" s="100" t="s">
        <v>190</v>
      </c>
      <c r="H116" s="117"/>
      <c r="I116" s="74">
        <f>I117+I118+I119</f>
        <v>59249.299999999996</v>
      </c>
      <c r="J116" s="74">
        <f>J117+J118+J119</f>
        <v>58749.299999999996</v>
      </c>
      <c r="K116" s="271">
        <f aca="true" t="shared" si="17" ref="K116:K127">J116-I116</f>
        <v>-500</v>
      </c>
      <c r="L116" s="74">
        <f>L117+L118+L119</f>
        <v>53678.5</v>
      </c>
      <c r="M116" s="74">
        <f>M117+M118+M119</f>
        <v>55453.2</v>
      </c>
    </row>
    <row r="117" spans="1:13" s="269" customFormat="1" ht="60">
      <c r="A117" s="111" t="s">
        <v>680</v>
      </c>
      <c r="B117" s="270" t="s">
        <v>23</v>
      </c>
      <c r="C117" s="100" t="s">
        <v>52</v>
      </c>
      <c r="D117" s="100" t="s">
        <v>425</v>
      </c>
      <c r="E117" s="100" t="s">
        <v>329</v>
      </c>
      <c r="F117" s="100" t="s">
        <v>147</v>
      </c>
      <c r="G117" s="100" t="s">
        <v>190</v>
      </c>
      <c r="H117" s="117">
        <v>100</v>
      </c>
      <c r="I117" s="255">
        <f>40341.8+552.7-4.1-3.8-4.6-34</f>
        <v>40848</v>
      </c>
      <c r="J117" s="255">
        <f>40341.8+552.7-4.1-3.8-4.6-34</f>
        <v>40848</v>
      </c>
      <c r="K117" s="271">
        <f t="shared" si="17"/>
        <v>0</v>
      </c>
      <c r="L117" s="74">
        <v>41634.9</v>
      </c>
      <c r="M117" s="74">
        <v>43287.5</v>
      </c>
    </row>
    <row r="118" spans="1:13" s="269" customFormat="1" ht="30">
      <c r="A118" s="111" t="s">
        <v>683</v>
      </c>
      <c r="B118" s="270" t="s">
        <v>23</v>
      </c>
      <c r="C118" s="100" t="s">
        <v>52</v>
      </c>
      <c r="D118" s="100" t="s">
        <v>425</v>
      </c>
      <c r="E118" s="100" t="s">
        <v>329</v>
      </c>
      <c r="F118" s="100" t="s">
        <v>147</v>
      </c>
      <c r="G118" s="100" t="s">
        <v>190</v>
      </c>
      <c r="H118" s="117">
        <v>200</v>
      </c>
      <c r="I118" s="255">
        <f>17549.7+120-62.5-34.1+254.8+400+4.1+4.6+34</f>
        <v>18270.6</v>
      </c>
      <c r="J118" s="255">
        <f>17549.7+120-62.5-34.1+254.8+400+4.1+4.6+34-500</f>
        <v>17770.6</v>
      </c>
      <c r="K118" s="271">
        <f t="shared" si="17"/>
        <v>-500</v>
      </c>
      <c r="L118" s="74">
        <v>11856</v>
      </c>
      <c r="M118" s="74">
        <v>11978.1</v>
      </c>
    </row>
    <row r="119" spans="1:13" s="269" customFormat="1" ht="15">
      <c r="A119" s="111" t="s">
        <v>684</v>
      </c>
      <c r="B119" s="270" t="s">
        <v>23</v>
      </c>
      <c r="C119" s="100" t="s">
        <v>52</v>
      </c>
      <c r="D119" s="100" t="s">
        <v>425</v>
      </c>
      <c r="E119" s="100" t="s">
        <v>329</v>
      </c>
      <c r="F119" s="100" t="s">
        <v>147</v>
      </c>
      <c r="G119" s="100" t="s">
        <v>190</v>
      </c>
      <c r="H119" s="117">
        <v>800</v>
      </c>
      <c r="I119" s="134">
        <f>96.6+34.1</f>
        <v>130.7</v>
      </c>
      <c r="J119" s="134">
        <f>96.6+34.1</f>
        <v>130.7</v>
      </c>
      <c r="K119" s="271">
        <f t="shared" si="17"/>
        <v>0</v>
      </c>
      <c r="L119" s="74">
        <v>187.6</v>
      </c>
      <c r="M119" s="74">
        <v>187.6</v>
      </c>
    </row>
    <row r="120" spans="1:13" ht="30" hidden="1">
      <c r="A120" s="109" t="s">
        <v>712</v>
      </c>
      <c r="B120" s="270">
        <v>110</v>
      </c>
      <c r="C120" s="100" t="s">
        <v>52</v>
      </c>
      <c r="D120" s="100" t="s">
        <v>425</v>
      </c>
      <c r="E120" s="100" t="s">
        <v>329</v>
      </c>
      <c r="F120" s="100" t="s">
        <v>147</v>
      </c>
      <c r="G120" s="100" t="s">
        <v>711</v>
      </c>
      <c r="H120" s="117"/>
      <c r="I120" s="74"/>
      <c r="J120" s="74">
        <f>J121+J122</f>
        <v>0</v>
      </c>
      <c r="K120" s="271">
        <f t="shared" si="17"/>
        <v>0</v>
      </c>
      <c r="L120" s="74">
        <f>L121+L122</f>
        <v>0</v>
      </c>
      <c r="M120" s="74">
        <f>M121+M122</f>
        <v>0</v>
      </c>
    </row>
    <row r="121" spans="1:13" ht="60" hidden="1">
      <c r="A121" s="111" t="s">
        <v>680</v>
      </c>
      <c r="B121" s="270">
        <v>110</v>
      </c>
      <c r="C121" s="100" t="s">
        <v>52</v>
      </c>
      <c r="D121" s="100" t="s">
        <v>425</v>
      </c>
      <c r="E121" s="100" t="s">
        <v>329</v>
      </c>
      <c r="F121" s="100" t="s">
        <v>147</v>
      </c>
      <c r="G121" s="100" t="s">
        <v>711</v>
      </c>
      <c r="H121" s="117">
        <v>100</v>
      </c>
      <c r="I121" s="74"/>
      <c r="J121" s="256"/>
      <c r="K121" s="271">
        <f t="shared" si="17"/>
        <v>0</v>
      </c>
      <c r="L121" s="74"/>
      <c r="M121" s="74"/>
    </row>
    <row r="122" spans="1:13" ht="30" hidden="1">
      <c r="A122" s="111" t="s">
        <v>683</v>
      </c>
      <c r="B122" s="270">
        <v>110</v>
      </c>
      <c r="C122" s="100" t="s">
        <v>52</v>
      </c>
      <c r="D122" s="100" t="s">
        <v>425</v>
      </c>
      <c r="E122" s="100" t="s">
        <v>329</v>
      </c>
      <c r="F122" s="100" t="s">
        <v>147</v>
      </c>
      <c r="G122" s="100" t="s">
        <v>711</v>
      </c>
      <c r="H122" s="117">
        <v>200</v>
      </c>
      <c r="I122" s="74"/>
      <c r="J122" s="256"/>
      <c r="K122" s="271">
        <f t="shared" si="17"/>
        <v>0</v>
      </c>
      <c r="L122" s="74"/>
      <c r="M122" s="74"/>
    </row>
    <row r="123" spans="1:13" s="269" customFormat="1" ht="15">
      <c r="A123" s="111" t="s">
        <v>484</v>
      </c>
      <c r="B123" s="270" t="s">
        <v>23</v>
      </c>
      <c r="C123" s="100" t="s">
        <v>52</v>
      </c>
      <c r="D123" s="100" t="s">
        <v>425</v>
      </c>
      <c r="E123" s="100" t="s">
        <v>329</v>
      </c>
      <c r="F123" s="99" t="s">
        <v>147</v>
      </c>
      <c r="G123" s="100" t="s">
        <v>439</v>
      </c>
      <c r="H123" s="117"/>
      <c r="I123" s="74">
        <f>I124+I125+I126</f>
        <v>1475</v>
      </c>
      <c r="J123" s="74">
        <f>J124+J125+J126</f>
        <v>1475</v>
      </c>
      <c r="K123" s="271">
        <f t="shared" si="17"/>
        <v>0</v>
      </c>
      <c r="L123" s="74">
        <f>L124+L125+L126</f>
        <v>1495</v>
      </c>
      <c r="M123" s="74">
        <f>M124+M125+M126</f>
        <v>1515</v>
      </c>
    </row>
    <row r="124" spans="1:13" s="269" customFormat="1" ht="30">
      <c r="A124" s="111" t="s">
        <v>683</v>
      </c>
      <c r="B124" s="270" t="s">
        <v>23</v>
      </c>
      <c r="C124" s="100" t="s">
        <v>52</v>
      </c>
      <c r="D124" s="100" t="s">
        <v>425</v>
      </c>
      <c r="E124" s="100" t="s">
        <v>329</v>
      </c>
      <c r="F124" s="99" t="s">
        <v>147</v>
      </c>
      <c r="G124" s="100" t="s">
        <v>439</v>
      </c>
      <c r="H124" s="117">
        <v>200</v>
      </c>
      <c r="I124" s="74">
        <v>1385</v>
      </c>
      <c r="J124" s="74">
        <v>1385</v>
      </c>
      <c r="K124" s="271">
        <f t="shared" si="17"/>
        <v>0</v>
      </c>
      <c r="L124" s="74">
        <v>1405</v>
      </c>
      <c r="M124" s="74">
        <v>1425</v>
      </c>
    </row>
    <row r="125" spans="1:13" s="269" customFormat="1" ht="15">
      <c r="A125" s="111" t="s">
        <v>687</v>
      </c>
      <c r="B125" s="270" t="s">
        <v>23</v>
      </c>
      <c r="C125" s="100" t="s">
        <v>52</v>
      </c>
      <c r="D125" s="100" t="s">
        <v>425</v>
      </c>
      <c r="E125" s="100" t="s">
        <v>329</v>
      </c>
      <c r="F125" s="99" t="s">
        <v>147</v>
      </c>
      <c r="G125" s="100" t="s">
        <v>439</v>
      </c>
      <c r="H125" s="117">
        <v>300</v>
      </c>
      <c r="I125" s="74">
        <v>90</v>
      </c>
      <c r="J125" s="74">
        <v>90</v>
      </c>
      <c r="K125" s="271">
        <f t="shared" si="17"/>
        <v>0</v>
      </c>
      <c r="L125" s="74">
        <v>90</v>
      </c>
      <c r="M125" s="74">
        <v>90</v>
      </c>
    </row>
    <row r="126" spans="1:13" s="269" customFormat="1" ht="14.25" customHeight="1" hidden="1">
      <c r="A126" s="111" t="s">
        <v>684</v>
      </c>
      <c r="B126" s="270" t="s">
        <v>23</v>
      </c>
      <c r="C126" s="100" t="s">
        <v>52</v>
      </c>
      <c r="D126" s="100" t="s">
        <v>425</v>
      </c>
      <c r="E126" s="100" t="s">
        <v>329</v>
      </c>
      <c r="F126" s="99" t="s">
        <v>147</v>
      </c>
      <c r="G126" s="100" t="s">
        <v>439</v>
      </c>
      <c r="H126" s="117">
        <v>800</v>
      </c>
      <c r="I126" s="74"/>
      <c r="J126" s="74"/>
      <c r="K126" s="271">
        <f t="shared" si="17"/>
        <v>0</v>
      </c>
      <c r="L126" s="74"/>
      <c r="M126" s="74"/>
    </row>
    <row r="127" spans="1:13" s="269" customFormat="1" ht="15">
      <c r="A127" s="111" t="s">
        <v>446</v>
      </c>
      <c r="B127" s="270">
        <v>110</v>
      </c>
      <c r="C127" s="100" t="s">
        <v>52</v>
      </c>
      <c r="D127" s="100" t="s">
        <v>425</v>
      </c>
      <c r="E127" s="100" t="s">
        <v>329</v>
      </c>
      <c r="F127" s="99" t="s">
        <v>147</v>
      </c>
      <c r="G127" s="100" t="s">
        <v>447</v>
      </c>
      <c r="H127" s="117"/>
      <c r="I127" s="74">
        <f>I128</f>
        <v>89.9</v>
      </c>
      <c r="J127" s="74">
        <f>J128</f>
        <v>89.9</v>
      </c>
      <c r="K127" s="271">
        <f t="shared" si="17"/>
        <v>0</v>
      </c>
      <c r="L127" s="74">
        <f>L128</f>
        <v>45.9</v>
      </c>
      <c r="M127" s="74">
        <f>M128</f>
        <v>45.9</v>
      </c>
    </row>
    <row r="128" spans="1:13" s="269" customFormat="1" ht="15">
      <c r="A128" s="111" t="s">
        <v>684</v>
      </c>
      <c r="B128" s="270">
        <v>110</v>
      </c>
      <c r="C128" s="100" t="s">
        <v>52</v>
      </c>
      <c r="D128" s="100" t="s">
        <v>425</v>
      </c>
      <c r="E128" s="100" t="s">
        <v>329</v>
      </c>
      <c r="F128" s="99" t="s">
        <v>147</v>
      </c>
      <c r="G128" s="100" t="s">
        <v>447</v>
      </c>
      <c r="H128" s="117">
        <v>800</v>
      </c>
      <c r="I128" s="277">
        <v>89.9</v>
      </c>
      <c r="J128" s="277">
        <v>89.9</v>
      </c>
      <c r="K128" s="271">
        <f>J128-I128</f>
        <v>0</v>
      </c>
      <c r="L128" s="74">
        <v>45.9</v>
      </c>
      <c r="M128" s="74">
        <v>45.9</v>
      </c>
    </row>
    <row r="129" spans="1:13" s="268" customFormat="1" ht="45" hidden="1">
      <c r="A129" s="111" t="s">
        <v>450</v>
      </c>
      <c r="B129" s="270">
        <v>110</v>
      </c>
      <c r="C129" s="100" t="s">
        <v>52</v>
      </c>
      <c r="D129" s="100" t="s">
        <v>425</v>
      </c>
      <c r="E129" s="100" t="s">
        <v>329</v>
      </c>
      <c r="F129" s="99" t="s">
        <v>147</v>
      </c>
      <c r="G129" s="100" t="s">
        <v>451</v>
      </c>
      <c r="H129" s="117"/>
      <c r="I129" s="275"/>
      <c r="J129" s="275">
        <f>J130</f>
        <v>0</v>
      </c>
      <c r="K129" s="271">
        <f>J129-I129</f>
        <v>0</v>
      </c>
      <c r="L129" s="275">
        <f>L130</f>
        <v>0</v>
      </c>
      <c r="M129" s="275">
        <f>M130</f>
        <v>0</v>
      </c>
    </row>
    <row r="130" spans="1:13" s="268" customFormat="1" ht="30" hidden="1">
      <c r="A130" s="111" t="s">
        <v>683</v>
      </c>
      <c r="B130" s="270">
        <v>110</v>
      </c>
      <c r="C130" s="100" t="s">
        <v>52</v>
      </c>
      <c r="D130" s="100" t="s">
        <v>425</v>
      </c>
      <c r="E130" s="100" t="s">
        <v>329</v>
      </c>
      <c r="F130" s="99" t="s">
        <v>147</v>
      </c>
      <c r="G130" s="100" t="s">
        <v>451</v>
      </c>
      <c r="H130" s="117">
        <v>200</v>
      </c>
      <c r="I130" s="275"/>
      <c r="J130" s="273"/>
      <c r="K130" s="271">
        <f>J130-I130</f>
        <v>0</v>
      </c>
      <c r="L130" s="74"/>
      <c r="M130" s="74"/>
    </row>
    <row r="131" spans="1:13" s="269" customFormat="1" ht="63" customHeight="1">
      <c r="A131" s="111" t="s">
        <v>501</v>
      </c>
      <c r="B131" s="270" t="s">
        <v>23</v>
      </c>
      <c r="C131" s="100" t="s">
        <v>52</v>
      </c>
      <c r="D131" s="100" t="s">
        <v>425</v>
      </c>
      <c r="E131" s="100" t="s">
        <v>329</v>
      </c>
      <c r="F131" s="100" t="s">
        <v>147</v>
      </c>
      <c r="G131" s="100" t="s">
        <v>500</v>
      </c>
      <c r="H131" s="117"/>
      <c r="I131" s="74">
        <f>I132</f>
        <v>100</v>
      </c>
      <c r="J131" s="74">
        <f>J132</f>
        <v>100</v>
      </c>
      <c r="K131" s="271">
        <f>J131-I131</f>
        <v>0</v>
      </c>
      <c r="L131" s="74">
        <f>L132</f>
        <v>100</v>
      </c>
      <c r="M131" s="74">
        <f>M132</f>
        <v>100</v>
      </c>
    </row>
    <row r="132" spans="1:13" s="269" customFormat="1" ht="30">
      <c r="A132" s="111" t="s">
        <v>683</v>
      </c>
      <c r="B132" s="270" t="s">
        <v>23</v>
      </c>
      <c r="C132" s="100" t="s">
        <v>52</v>
      </c>
      <c r="D132" s="100" t="s">
        <v>425</v>
      </c>
      <c r="E132" s="100" t="s">
        <v>329</v>
      </c>
      <c r="F132" s="100" t="s">
        <v>147</v>
      </c>
      <c r="G132" s="100" t="s">
        <v>500</v>
      </c>
      <c r="H132" s="117">
        <v>200</v>
      </c>
      <c r="I132" s="74">
        <v>100</v>
      </c>
      <c r="J132" s="74">
        <v>100</v>
      </c>
      <c r="K132" s="271">
        <f>J132-I132</f>
        <v>0</v>
      </c>
      <c r="L132" s="74">
        <v>100</v>
      </c>
      <c r="M132" s="74">
        <v>100</v>
      </c>
    </row>
    <row r="133" spans="1:13" s="269" customFormat="1" ht="30" hidden="1">
      <c r="A133" s="111" t="s">
        <v>639</v>
      </c>
      <c r="B133" s="270" t="s">
        <v>23</v>
      </c>
      <c r="C133" s="100" t="s">
        <v>52</v>
      </c>
      <c r="D133" s="100" t="s">
        <v>425</v>
      </c>
      <c r="E133" s="100" t="s">
        <v>329</v>
      </c>
      <c r="F133" s="100" t="s">
        <v>147</v>
      </c>
      <c r="G133" s="100" t="s">
        <v>638</v>
      </c>
      <c r="H133" s="117"/>
      <c r="I133" s="74"/>
      <c r="J133" s="74">
        <f>J134</f>
        <v>0</v>
      </c>
      <c r="K133" s="271">
        <f aca="true" t="shared" si="18" ref="K133:K144">J133-I133</f>
        <v>0</v>
      </c>
      <c r="L133" s="74">
        <f>L134</f>
        <v>0</v>
      </c>
      <c r="M133" s="273"/>
    </row>
    <row r="134" spans="1:13" s="269" customFormat="1" ht="36.75" customHeight="1" hidden="1">
      <c r="A134" s="111" t="s">
        <v>694</v>
      </c>
      <c r="B134" s="270" t="s">
        <v>23</v>
      </c>
      <c r="C134" s="100" t="s">
        <v>52</v>
      </c>
      <c r="D134" s="100" t="s">
        <v>425</v>
      </c>
      <c r="E134" s="100" t="s">
        <v>329</v>
      </c>
      <c r="F134" s="100" t="s">
        <v>147</v>
      </c>
      <c r="G134" s="100" t="s">
        <v>638</v>
      </c>
      <c r="H134" s="117">
        <v>400</v>
      </c>
      <c r="I134" s="74"/>
      <c r="J134" s="273"/>
      <c r="K134" s="271">
        <f t="shared" si="18"/>
        <v>0</v>
      </c>
      <c r="L134" s="74"/>
      <c r="M134" s="74"/>
    </row>
    <row r="135" spans="1:13" ht="45" hidden="1">
      <c r="A135" s="109" t="s">
        <v>995</v>
      </c>
      <c r="B135" s="270">
        <v>110</v>
      </c>
      <c r="C135" s="100" t="s">
        <v>52</v>
      </c>
      <c r="D135" s="100" t="s">
        <v>425</v>
      </c>
      <c r="E135" s="100" t="s">
        <v>329</v>
      </c>
      <c r="F135" s="100" t="s">
        <v>147</v>
      </c>
      <c r="G135" s="100" t="s">
        <v>987</v>
      </c>
      <c r="H135" s="117"/>
      <c r="I135" s="74"/>
      <c r="J135" s="74">
        <f>J136</f>
        <v>0</v>
      </c>
      <c r="K135" s="271">
        <f t="shared" si="18"/>
        <v>0</v>
      </c>
      <c r="L135" s="74">
        <f>L136</f>
        <v>0</v>
      </c>
      <c r="M135" s="74">
        <f>M136</f>
        <v>0</v>
      </c>
    </row>
    <row r="136" spans="1:13" ht="30" hidden="1">
      <c r="A136" s="111" t="s">
        <v>683</v>
      </c>
      <c r="B136" s="270">
        <v>110</v>
      </c>
      <c r="C136" s="100" t="s">
        <v>52</v>
      </c>
      <c r="D136" s="100" t="s">
        <v>425</v>
      </c>
      <c r="E136" s="100" t="s">
        <v>329</v>
      </c>
      <c r="F136" s="100" t="s">
        <v>147</v>
      </c>
      <c r="G136" s="100" t="s">
        <v>987</v>
      </c>
      <c r="H136" s="117">
        <v>200</v>
      </c>
      <c r="I136" s="74"/>
      <c r="J136" s="256"/>
      <c r="K136" s="271">
        <f t="shared" si="18"/>
        <v>0</v>
      </c>
      <c r="L136" s="74"/>
      <c r="M136" s="74"/>
    </row>
    <row r="137" spans="1:13" s="269" customFormat="1" ht="19.5" customHeight="1">
      <c r="A137" s="127" t="s">
        <v>53</v>
      </c>
      <c r="B137" s="266" t="s">
        <v>23</v>
      </c>
      <c r="C137" s="95" t="s">
        <v>54</v>
      </c>
      <c r="D137" s="67"/>
      <c r="E137" s="67"/>
      <c r="F137" s="67"/>
      <c r="G137" s="67"/>
      <c r="H137" s="67"/>
      <c r="I137" s="36">
        <f>I138</f>
        <v>2374.2999999999997</v>
      </c>
      <c r="J137" s="36">
        <f>J138</f>
        <v>2374.2999999999997</v>
      </c>
      <c r="K137" s="267">
        <f t="shared" si="18"/>
        <v>0</v>
      </c>
      <c r="L137" s="36">
        <f>L138</f>
        <v>1451.1999999999998</v>
      </c>
      <c r="M137" s="36">
        <f>M138</f>
        <v>1464.6</v>
      </c>
    </row>
    <row r="138" spans="1:13" s="269" customFormat="1" ht="28.5">
      <c r="A138" s="127" t="s">
        <v>55</v>
      </c>
      <c r="B138" s="266" t="s">
        <v>23</v>
      </c>
      <c r="C138" s="95" t="s">
        <v>56</v>
      </c>
      <c r="D138" s="67"/>
      <c r="E138" s="67"/>
      <c r="F138" s="67"/>
      <c r="G138" s="67"/>
      <c r="H138" s="67"/>
      <c r="I138" s="36">
        <f>I139+I169</f>
        <v>2374.2999999999997</v>
      </c>
      <c r="J138" s="36">
        <f>J139+J169</f>
        <v>2374.2999999999997</v>
      </c>
      <c r="K138" s="267">
        <f t="shared" si="18"/>
        <v>0</v>
      </c>
      <c r="L138" s="36">
        <f>L139+L169</f>
        <v>1451.1999999999998</v>
      </c>
      <c r="M138" s="36">
        <f>M139+M169</f>
        <v>1464.6</v>
      </c>
    </row>
    <row r="139" spans="1:13" s="269" customFormat="1" ht="28.5">
      <c r="A139" s="127" t="s">
        <v>140</v>
      </c>
      <c r="B139" s="266" t="s">
        <v>23</v>
      </c>
      <c r="C139" s="95" t="s">
        <v>56</v>
      </c>
      <c r="D139" s="67" t="s">
        <v>341</v>
      </c>
      <c r="E139" s="67" t="s">
        <v>148</v>
      </c>
      <c r="F139" s="67" t="s">
        <v>149</v>
      </c>
      <c r="G139" s="67" t="s">
        <v>150</v>
      </c>
      <c r="H139" s="67"/>
      <c r="I139" s="36">
        <f>I144+I140</f>
        <v>1478.8999999999999</v>
      </c>
      <c r="J139" s="36">
        <f>J144+J140</f>
        <v>1478.8999999999999</v>
      </c>
      <c r="K139" s="267">
        <f t="shared" si="18"/>
        <v>0</v>
      </c>
      <c r="L139" s="36">
        <f>L144+L140</f>
        <v>1451.1999999999998</v>
      </c>
      <c r="M139" s="36">
        <f>M144+M140</f>
        <v>1464.6</v>
      </c>
    </row>
    <row r="140" spans="1:13" s="269" customFormat="1" ht="28.5">
      <c r="A140" s="124" t="s">
        <v>346</v>
      </c>
      <c r="B140" s="266">
        <v>110</v>
      </c>
      <c r="C140" s="95" t="s">
        <v>56</v>
      </c>
      <c r="D140" s="67" t="s">
        <v>341</v>
      </c>
      <c r="E140" s="67" t="s">
        <v>131</v>
      </c>
      <c r="F140" s="67" t="s">
        <v>149</v>
      </c>
      <c r="G140" s="67" t="s">
        <v>150</v>
      </c>
      <c r="H140" s="67"/>
      <c r="I140" s="36">
        <f aca="true" t="shared" si="19" ref="I140:J142">I141</f>
        <v>364</v>
      </c>
      <c r="J140" s="36">
        <f t="shared" si="19"/>
        <v>364</v>
      </c>
      <c r="K140" s="267">
        <f t="shared" si="18"/>
        <v>0</v>
      </c>
      <c r="L140" s="36">
        <f aca="true" t="shared" si="20" ref="L140:M142">L141</f>
        <v>0</v>
      </c>
      <c r="M140" s="36">
        <f t="shared" si="20"/>
        <v>0</v>
      </c>
    </row>
    <row r="141" spans="1:13" s="269" customFormat="1" ht="28.5">
      <c r="A141" s="124" t="s">
        <v>1035</v>
      </c>
      <c r="B141" s="266">
        <v>110</v>
      </c>
      <c r="C141" s="95" t="s">
        <v>56</v>
      </c>
      <c r="D141" s="67" t="s">
        <v>341</v>
      </c>
      <c r="E141" s="67" t="s">
        <v>131</v>
      </c>
      <c r="F141" s="67" t="s">
        <v>160</v>
      </c>
      <c r="G141" s="67" t="s">
        <v>150</v>
      </c>
      <c r="H141" s="67"/>
      <c r="I141" s="36">
        <f t="shared" si="19"/>
        <v>364</v>
      </c>
      <c r="J141" s="36">
        <f t="shared" si="19"/>
        <v>364</v>
      </c>
      <c r="K141" s="267">
        <f t="shared" si="18"/>
        <v>0</v>
      </c>
      <c r="L141" s="36">
        <f t="shared" si="20"/>
        <v>0</v>
      </c>
      <c r="M141" s="36">
        <f t="shared" si="20"/>
        <v>0</v>
      </c>
    </row>
    <row r="142" spans="1:13" s="269" customFormat="1" ht="35.25" customHeight="1">
      <c r="A142" s="109" t="s">
        <v>1036</v>
      </c>
      <c r="B142" s="270">
        <v>110</v>
      </c>
      <c r="C142" s="100" t="s">
        <v>56</v>
      </c>
      <c r="D142" s="99" t="s">
        <v>341</v>
      </c>
      <c r="E142" s="99" t="s">
        <v>131</v>
      </c>
      <c r="F142" s="99" t="s">
        <v>160</v>
      </c>
      <c r="G142" s="99" t="s">
        <v>1037</v>
      </c>
      <c r="H142" s="99"/>
      <c r="I142" s="74">
        <f t="shared" si="19"/>
        <v>364</v>
      </c>
      <c r="J142" s="74">
        <f t="shared" si="19"/>
        <v>364</v>
      </c>
      <c r="K142" s="271">
        <f t="shared" si="18"/>
        <v>0</v>
      </c>
      <c r="L142" s="74">
        <f t="shared" si="20"/>
        <v>0</v>
      </c>
      <c r="M142" s="74">
        <f t="shared" si="20"/>
        <v>0</v>
      </c>
    </row>
    <row r="143" spans="1:13" s="269" customFormat="1" ht="35.25" customHeight="1">
      <c r="A143" s="111" t="s">
        <v>683</v>
      </c>
      <c r="B143" s="270">
        <v>110</v>
      </c>
      <c r="C143" s="100" t="s">
        <v>56</v>
      </c>
      <c r="D143" s="99" t="s">
        <v>341</v>
      </c>
      <c r="E143" s="99" t="s">
        <v>131</v>
      </c>
      <c r="F143" s="99" t="s">
        <v>160</v>
      </c>
      <c r="G143" s="99" t="s">
        <v>1037</v>
      </c>
      <c r="H143" s="99" t="s">
        <v>682</v>
      </c>
      <c r="I143" s="74">
        <v>364</v>
      </c>
      <c r="J143" s="74">
        <v>364</v>
      </c>
      <c r="K143" s="271">
        <f t="shared" si="18"/>
        <v>0</v>
      </c>
      <c r="L143" s="74"/>
      <c r="M143" s="74"/>
    </row>
    <row r="144" spans="1:13" s="269" customFormat="1" ht="65.25" customHeight="1">
      <c r="A144" s="97" t="s">
        <v>775</v>
      </c>
      <c r="B144" s="266" t="s">
        <v>23</v>
      </c>
      <c r="C144" s="95" t="s">
        <v>56</v>
      </c>
      <c r="D144" s="67" t="s">
        <v>341</v>
      </c>
      <c r="E144" s="67" t="s">
        <v>132</v>
      </c>
      <c r="F144" s="67" t="s">
        <v>149</v>
      </c>
      <c r="G144" s="67" t="s">
        <v>150</v>
      </c>
      <c r="H144" s="67"/>
      <c r="I144" s="36">
        <f>I145+I150+I157+I166</f>
        <v>1114.8999999999999</v>
      </c>
      <c r="J144" s="36">
        <f>J145+J150+J157+J166</f>
        <v>1114.8999999999999</v>
      </c>
      <c r="K144" s="267">
        <f t="shared" si="18"/>
        <v>0</v>
      </c>
      <c r="L144" s="36">
        <f>L145+L150+L157+L166</f>
        <v>1451.1999999999998</v>
      </c>
      <c r="M144" s="36">
        <f>M145+M150+M157+M166</f>
        <v>1464.6</v>
      </c>
    </row>
    <row r="145" spans="1:13" s="268" customFormat="1" ht="28.5">
      <c r="A145" s="125" t="s">
        <v>352</v>
      </c>
      <c r="B145" s="266" t="s">
        <v>23</v>
      </c>
      <c r="C145" s="95" t="s">
        <v>56</v>
      </c>
      <c r="D145" s="67" t="s">
        <v>341</v>
      </c>
      <c r="E145" s="67" t="s">
        <v>132</v>
      </c>
      <c r="F145" s="67" t="s">
        <v>147</v>
      </c>
      <c r="G145" s="67" t="s">
        <v>150</v>
      </c>
      <c r="H145" s="67"/>
      <c r="I145" s="36">
        <f>I146+I148</f>
        <v>498.29999999999995</v>
      </c>
      <c r="J145" s="36">
        <f>J146+J148</f>
        <v>498.29999999999995</v>
      </c>
      <c r="K145" s="267">
        <f aca="true" t="shared" si="21" ref="K145:K151">J145-I145</f>
        <v>0</v>
      </c>
      <c r="L145" s="36">
        <f>L146+L148</f>
        <v>844.3</v>
      </c>
      <c r="M145" s="36">
        <f>M146+M148</f>
        <v>844.3</v>
      </c>
    </row>
    <row r="146" spans="1:13" s="269" customFormat="1" ht="15">
      <c r="A146" s="115" t="s">
        <v>353</v>
      </c>
      <c r="B146" s="270" t="s">
        <v>23</v>
      </c>
      <c r="C146" s="100" t="s">
        <v>56</v>
      </c>
      <c r="D146" s="99" t="s">
        <v>341</v>
      </c>
      <c r="E146" s="99" t="s">
        <v>132</v>
      </c>
      <c r="F146" s="99" t="s">
        <v>147</v>
      </c>
      <c r="G146" s="99" t="s">
        <v>354</v>
      </c>
      <c r="H146" s="99"/>
      <c r="I146" s="74">
        <f>I147</f>
        <v>477.29999999999995</v>
      </c>
      <c r="J146" s="74">
        <f>J147</f>
        <v>477.29999999999995</v>
      </c>
      <c r="K146" s="271">
        <f t="shared" si="21"/>
        <v>0</v>
      </c>
      <c r="L146" s="74">
        <f>L147</f>
        <v>824</v>
      </c>
      <c r="M146" s="74">
        <f>M147</f>
        <v>824</v>
      </c>
    </row>
    <row r="147" spans="1:13" s="269" customFormat="1" ht="30">
      <c r="A147" s="111" t="s">
        <v>683</v>
      </c>
      <c r="B147" s="270" t="s">
        <v>23</v>
      </c>
      <c r="C147" s="100" t="s">
        <v>56</v>
      </c>
      <c r="D147" s="99" t="s">
        <v>341</v>
      </c>
      <c r="E147" s="99" t="s">
        <v>132</v>
      </c>
      <c r="F147" s="99" t="s">
        <v>147</v>
      </c>
      <c r="G147" s="99" t="s">
        <v>354</v>
      </c>
      <c r="H147" s="99" t="s">
        <v>682</v>
      </c>
      <c r="I147" s="74">
        <f>324+453.3-300</f>
        <v>477.29999999999995</v>
      </c>
      <c r="J147" s="74">
        <f>324+453.3-300</f>
        <v>477.29999999999995</v>
      </c>
      <c r="K147" s="271">
        <f t="shared" si="21"/>
        <v>0</v>
      </c>
      <c r="L147" s="74">
        <f>324+500</f>
        <v>824</v>
      </c>
      <c r="M147" s="74">
        <f>324+500</f>
        <v>824</v>
      </c>
    </row>
    <row r="148" spans="1:13" ht="30">
      <c r="A148" s="115" t="s">
        <v>356</v>
      </c>
      <c r="B148" s="270" t="s">
        <v>23</v>
      </c>
      <c r="C148" s="100" t="s">
        <v>56</v>
      </c>
      <c r="D148" s="99" t="s">
        <v>341</v>
      </c>
      <c r="E148" s="99" t="s">
        <v>132</v>
      </c>
      <c r="F148" s="99" t="s">
        <v>147</v>
      </c>
      <c r="G148" s="99" t="s">
        <v>357</v>
      </c>
      <c r="H148" s="99"/>
      <c r="I148" s="74">
        <f>I149</f>
        <v>21</v>
      </c>
      <c r="J148" s="74">
        <f>J149</f>
        <v>21</v>
      </c>
      <c r="K148" s="271">
        <f t="shared" si="21"/>
        <v>0</v>
      </c>
      <c r="L148" s="74">
        <f>L149</f>
        <v>20.3</v>
      </c>
      <c r="M148" s="74">
        <f>M149</f>
        <v>20.3</v>
      </c>
    </row>
    <row r="149" spans="1:13" s="269" customFormat="1" ht="30">
      <c r="A149" s="111" t="s">
        <v>683</v>
      </c>
      <c r="B149" s="270" t="s">
        <v>23</v>
      </c>
      <c r="C149" s="100" t="s">
        <v>56</v>
      </c>
      <c r="D149" s="99" t="s">
        <v>341</v>
      </c>
      <c r="E149" s="99" t="s">
        <v>132</v>
      </c>
      <c r="F149" s="99" t="s">
        <v>147</v>
      </c>
      <c r="G149" s="99" t="s">
        <v>357</v>
      </c>
      <c r="H149" s="99" t="s">
        <v>682</v>
      </c>
      <c r="I149" s="74">
        <v>21</v>
      </c>
      <c r="J149" s="74">
        <v>21</v>
      </c>
      <c r="K149" s="271">
        <f t="shared" si="21"/>
        <v>0</v>
      </c>
      <c r="L149" s="74">
        <v>20.3</v>
      </c>
      <c r="M149" s="74">
        <v>20.3</v>
      </c>
    </row>
    <row r="150" spans="1:13" s="268" customFormat="1" ht="28.5">
      <c r="A150" s="125" t="s">
        <v>358</v>
      </c>
      <c r="B150" s="266" t="s">
        <v>23</v>
      </c>
      <c r="C150" s="95" t="s">
        <v>56</v>
      </c>
      <c r="D150" s="67" t="s">
        <v>341</v>
      </c>
      <c r="E150" s="67" t="s">
        <v>132</v>
      </c>
      <c r="F150" s="67" t="s">
        <v>160</v>
      </c>
      <c r="G150" s="67" t="s">
        <v>150</v>
      </c>
      <c r="H150" s="67"/>
      <c r="I150" s="36">
        <f>I151+I153+I155</f>
        <v>131.8</v>
      </c>
      <c r="J150" s="36">
        <f>J151+J153+J155</f>
        <v>131.8</v>
      </c>
      <c r="K150" s="267">
        <f t="shared" si="21"/>
        <v>0</v>
      </c>
      <c r="L150" s="36">
        <f>L151+L153+L155</f>
        <v>131.8</v>
      </c>
      <c r="M150" s="36">
        <f>M151+M153+M155</f>
        <v>131.8</v>
      </c>
    </row>
    <row r="151" spans="1:13" s="269" customFormat="1" ht="30">
      <c r="A151" s="115" t="s">
        <v>928</v>
      </c>
      <c r="B151" s="270" t="s">
        <v>23</v>
      </c>
      <c r="C151" s="100" t="s">
        <v>56</v>
      </c>
      <c r="D151" s="99" t="s">
        <v>341</v>
      </c>
      <c r="E151" s="99" t="s">
        <v>132</v>
      </c>
      <c r="F151" s="99" t="s">
        <v>160</v>
      </c>
      <c r="G151" s="99" t="s">
        <v>359</v>
      </c>
      <c r="H151" s="99"/>
      <c r="I151" s="74">
        <f>I152</f>
        <v>131.8</v>
      </c>
      <c r="J151" s="74">
        <f>J152</f>
        <v>131.8</v>
      </c>
      <c r="K151" s="271">
        <f t="shared" si="21"/>
        <v>0</v>
      </c>
      <c r="L151" s="74">
        <f>L152</f>
        <v>131.8</v>
      </c>
      <c r="M151" s="74">
        <f>M152</f>
        <v>131.8</v>
      </c>
    </row>
    <row r="152" spans="1:13" s="276" customFormat="1" ht="30">
      <c r="A152" s="111" t="s">
        <v>683</v>
      </c>
      <c r="B152" s="270" t="s">
        <v>23</v>
      </c>
      <c r="C152" s="100" t="s">
        <v>56</v>
      </c>
      <c r="D152" s="99" t="s">
        <v>341</v>
      </c>
      <c r="E152" s="99" t="s">
        <v>132</v>
      </c>
      <c r="F152" s="99" t="s">
        <v>160</v>
      </c>
      <c r="G152" s="99" t="s">
        <v>359</v>
      </c>
      <c r="H152" s="99" t="s">
        <v>682</v>
      </c>
      <c r="I152" s="74">
        <v>131.8</v>
      </c>
      <c r="J152" s="74">
        <v>131.8</v>
      </c>
      <c r="K152" s="271">
        <f aca="true" t="shared" si="22" ref="K152:K157">J152-I152</f>
        <v>0</v>
      </c>
      <c r="L152" s="74">
        <v>131.8</v>
      </c>
      <c r="M152" s="74">
        <v>131.8</v>
      </c>
    </row>
    <row r="153" spans="1:13" s="276" customFormat="1" ht="15" hidden="1">
      <c r="A153" s="107" t="s">
        <v>776</v>
      </c>
      <c r="B153" s="270">
        <v>110</v>
      </c>
      <c r="C153" s="100" t="s">
        <v>56</v>
      </c>
      <c r="D153" s="99" t="s">
        <v>341</v>
      </c>
      <c r="E153" s="99" t="s">
        <v>132</v>
      </c>
      <c r="F153" s="99" t="s">
        <v>160</v>
      </c>
      <c r="G153" s="99" t="s">
        <v>822</v>
      </c>
      <c r="H153" s="99"/>
      <c r="I153" s="74"/>
      <c r="J153" s="74">
        <f>J154</f>
        <v>0</v>
      </c>
      <c r="K153" s="271">
        <f t="shared" si="22"/>
        <v>0</v>
      </c>
      <c r="L153" s="74">
        <f>L154</f>
        <v>0</v>
      </c>
      <c r="M153" s="74">
        <f>M154</f>
        <v>0</v>
      </c>
    </row>
    <row r="154" spans="1:13" s="276" customFormat="1" ht="30" hidden="1">
      <c r="A154" s="102" t="s">
        <v>683</v>
      </c>
      <c r="B154" s="270">
        <v>110</v>
      </c>
      <c r="C154" s="100" t="s">
        <v>56</v>
      </c>
      <c r="D154" s="99" t="s">
        <v>341</v>
      </c>
      <c r="E154" s="99" t="s">
        <v>132</v>
      </c>
      <c r="F154" s="99" t="s">
        <v>160</v>
      </c>
      <c r="G154" s="99" t="s">
        <v>822</v>
      </c>
      <c r="H154" s="99" t="s">
        <v>682</v>
      </c>
      <c r="I154" s="74"/>
      <c r="J154" s="74"/>
      <c r="K154" s="271">
        <f t="shared" si="22"/>
        <v>0</v>
      </c>
      <c r="L154" s="74"/>
      <c r="M154" s="74"/>
    </row>
    <row r="155" spans="1:13" s="276" customFormat="1" ht="30" hidden="1">
      <c r="A155" s="107" t="s">
        <v>1001</v>
      </c>
      <c r="B155" s="270">
        <v>110</v>
      </c>
      <c r="C155" s="100" t="s">
        <v>56</v>
      </c>
      <c r="D155" s="99" t="s">
        <v>341</v>
      </c>
      <c r="E155" s="99" t="s">
        <v>132</v>
      </c>
      <c r="F155" s="99" t="s">
        <v>160</v>
      </c>
      <c r="G155" s="99" t="s">
        <v>1002</v>
      </c>
      <c r="H155" s="99"/>
      <c r="I155" s="74"/>
      <c r="J155" s="74">
        <f>J156</f>
        <v>0</v>
      </c>
      <c r="K155" s="271">
        <f t="shared" si="22"/>
        <v>0</v>
      </c>
      <c r="L155" s="74">
        <f>L156</f>
        <v>0</v>
      </c>
      <c r="M155" s="74">
        <f>M156</f>
        <v>0</v>
      </c>
    </row>
    <row r="156" spans="1:13" s="276" customFormat="1" ht="30" hidden="1">
      <c r="A156" s="102" t="s">
        <v>683</v>
      </c>
      <c r="B156" s="270">
        <v>110</v>
      </c>
      <c r="C156" s="100" t="s">
        <v>56</v>
      </c>
      <c r="D156" s="99" t="s">
        <v>341</v>
      </c>
      <c r="E156" s="99" t="s">
        <v>132</v>
      </c>
      <c r="F156" s="99" t="s">
        <v>160</v>
      </c>
      <c r="G156" s="99" t="s">
        <v>1002</v>
      </c>
      <c r="H156" s="99" t="s">
        <v>682</v>
      </c>
      <c r="I156" s="74"/>
      <c r="J156" s="74"/>
      <c r="K156" s="271">
        <f t="shared" si="22"/>
        <v>0</v>
      </c>
      <c r="L156" s="74"/>
      <c r="M156" s="74"/>
    </row>
    <row r="157" spans="1:13" s="276" customFormat="1" ht="28.5">
      <c r="A157" s="125" t="s">
        <v>360</v>
      </c>
      <c r="B157" s="266" t="s">
        <v>23</v>
      </c>
      <c r="C157" s="95" t="s">
        <v>56</v>
      </c>
      <c r="D157" s="67" t="s">
        <v>341</v>
      </c>
      <c r="E157" s="67" t="s">
        <v>132</v>
      </c>
      <c r="F157" s="67" t="s">
        <v>174</v>
      </c>
      <c r="G157" s="67" t="s">
        <v>150</v>
      </c>
      <c r="H157" s="67"/>
      <c r="I157" s="36">
        <f>I158+I160+I162+I164</f>
        <v>288.2</v>
      </c>
      <c r="J157" s="36">
        <f>J158+J160+J162+J164</f>
        <v>288.2</v>
      </c>
      <c r="K157" s="267">
        <f t="shared" si="22"/>
        <v>0</v>
      </c>
      <c r="L157" s="36">
        <f>L158+L160+L162+L164</f>
        <v>266.6</v>
      </c>
      <c r="M157" s="36">
        <f>M158+M160+M162+M164</f>
        <v>276.6</v>
      </c>
    </row>
    <row r="158" spans="1:13" ht="30" hidden="1">
      <c r="A158" s="115" t="s">
        <v>361</v>
      </c>
      <c r="B158" s="270" t="s">
        <v>23</v>
      </c>
      <c r="C158" s="100" t="s">
        <v>56</v>
      </c>
      <c r="D158" s="99" t="s">
        <v>341</v>
      </c>
      <c r="E158" s="99" t="s">
        <v>132</v>
      </c>
      <c r="F158" s="99" t="s">
        <v>174</v>
      </c>
      <c r="G158" s="99" t="s">
        <v>362</v>
      </c>
      <c r="H158" s="99"/>
      <c r="I158" s="74"/>
      <c r="J158" s="74">
        <f>J159</f>
        <v>0</v>
      </c>
      <c r="K158" s="271">
        <f>J158-I158</f>
        <v>0</v>
      </c>
      <c r="L158" s="74">
        <f>L159</f>
        <v>0</v>
      </c>
      <c r="M158" s="74">
        <f>M159</f>
        <v>0</v>
      </c>
    </row>
    <row r="159" spans="1:13" ht="30" hidden="1">
      <c r="A159" s="111" t="s">
        <v>683</v>
      </c>
      <c r="B159" s="270" t="s">
        <v>23</v>
      </c>
      <c r="C159" s="100" t="s">
        <v>56</v>
      </c>
      <c r="D159" s="99" t="s">
        <v>341</v>
      </c>
      <c r="E159" s="99" t="s">
        <v>132</v>
      </c>
      <c r="F159" s="99" t="s">
        <v>174</v>
      </c>
      <c r="G159" s="99" t="s">
        <v>362</v>
      </c>
      <c r="H159" s="99" t="s">
        <v>682</v>
      </c>
      <c r="I159" s="74"/>
      <c r="J159" s="74"/>
      <c r="K159" s="271"/>
      <c r="L159" s="74"/>
      <c r="M159" s="74"/>
    </row>
    <row r="160" spans="1:13" ht="30">
      <c r="A160" s="115" t="s">
        <v>924</v>
      </c>
      <c r="B160" s="270" t="s">
        <v>23</v>
      </c>
      <c r="C160" s="100" t="s">
        <v>56</v>
      </c>
      <c r="D160" s="99" t="s">
        <v>341</v>
      </c>
      <c r="E160" s="99" t="s">
        <v>132</v>
      </c>
      <c r="F160" s="99" t="s">
        <v>174</v>
      </c>
      <c r="G160" s="99" t="s">
        <v>363</v>
      </c>
      <c r="H160" s="99"/>
      <c r="I160" s="74">
        <f>I161</f>
        <v>16</v>
      </c>
      <c r="J160" s="74">
        <f>J161</f>
        <v>16</v>
      </c>
      <c r="K160" s="271">
        <f aca="true" t="shared" si="23" ref="K160:K168">J160-I160</f>
        <v>0</v>
      </c>
      <c r="L160" s="74">
        <f>L161</f>
        <v>16</v>
      </c>
      <c r="M160" s="74">
        <f>M161</f>
        <v>16</v>
      </c>
    </row>
    <row r="161" spans="1:13" ht="30">
      <c r="A161" s="111" t="s">
        <v>683</v>
      </c>
      <c r="B161" s="270" t="s">
        <v>23</v>
      </c>
      <c r="C161" s="100" t="s">
        <v>56</v>
      </c>
      <c r="D161" s="99" t="s">
        <v>341</v>
      </c>
      <c r="E161" s="99" t="s">
        <v>132</v>
      </c>
      <c r="F161" s="99" t="s">
        <v>174</v>
      </c>
      <c r="G161" s="99" t="s">
        <v>363</v>
      </c>
      <c r="H161" s="99" t="s">
        <v>682</v>
      </c>
      <c r="I161" s="74">
        <v>16</v>
      </c>
      <c r="J161" s="74">
        <v>16</v>
      </c>
      <c r="K161" s="271">
        <f t="shared" si="23"/>
        <v>0</v>
      </c>
      <c r="L161" s="74">
        <v>16</v>
      </c>
      <c r="M161" s="74">
        <v>16</v>
      </c>
    </row>
    <row r="162" spans="1:13" ht="15">
      <c r="A162" s="115" t="s">
        <v>364</v>
      </c>
      <c r="B162" s="270" t="s">
        <v>23</v>
      </c>
      <c r="C162" s="100" t="s">
        <v>56</v>
      </c>
      <c r="D162" s="99" t="s">
        <v>341</v>
      </c>
      <c r="E162" s="99" t="s">
        <v>132</v>
      </c>
      <c r="F162" s="99" t="s">
        <v>174</v>
      </c>
      <c r="G162" s="99" t="s">
        <v>365</v>
      </c>
      <c r="H162" s="99"/>
      <c r="I162" s="74">
        <f>I163</f>
        <v>75.6</v>
      </c>
      <c r="J162" s="74">
        <f>J163</f>
        <v>75.6</v>
      </c>
      <c r="K162" s="271">
        <f t="shared" si="23"/>
        <v>0</v>
      </c>
      <c r="L162" s="74">
        <f>L163</f>
        <v>50.6</v>
      </c>
      <c r="M162" s="74">
        <f>M163</f>
        <v>50.6</v>
      </c>
    </row>
    <row r="163" spans="1:13" ht="30">
      <c r="A163" s="111" t="s">
        <v>683</v>
      </c>
      <c r="B163" s="270" t="s">
        <v>23</v>
      </c>
      <c r="C163" s="100" t="s">
        <v>56</v>
      </c>
      <c r="D163" s="99" t="s">
        <v>341</v>
      </c>
      <c r="E163" s="99" t="s">
        <v>132</v>
      </c>
      <c r="F163" s="99" t="s">
        <v>174</v>
      </c>
      <c r="G163" s="99" t="s">
        <v>365</v>
      </c>
      <c r="H163" s="99" t="s">
        <v>682</v>
      </c>
      <c r="I163" s="74">
        <f>50.6+25</f>
        <v>75.6</v>
      </c>
      <c r="J163" s="74">
        <f>50.6+25</f>
        <v>75.6</v>
      </c>
      <c r="K163" s="271">
        <f t="shared" si="23"/>
        <v>0</v>
      </c>
      <c r="L163" s="74">
        <v>50.6</v>
      </c>
      <c r="M163" s="74">
        <v>50.6</v>
      </c>
    </row>
    <row r="164" spans="1:13" ht="30">
      <c r="A164" s="115" t="s">
        <v>141</v>
      </c>
      <c r="B164" s="270">
        <v>110</v>
      </c>
      <c r="C164" s="100" t="s">
        <v>56</v>
      </c>
      <c r="D164" s="99" t="s">
        <v>341</v>
      </c>
      <c r="E164" s="99" t="s">
        <v>132</v>
      </c>
      <c r="F164" s="99" t="s">
        <v>174</v>
      </c>
      <c r="G164" s="99" t="s">
        <v>367</v>
      </c>
      <c r="H164" s="99"/>
      <c r="I164" s="74">
        <f>I165</f>
        <v>196.6</v>
      </c>
      <c r="J164" s="74">
        <f>J165</f>
        <v>196.6</v>
      </c>
      <c r="K164" s="271">
        <f t="shared" si="23"/>
        <v>0</v>
      </c>
      <c r="L164" s="74">
        <f>L165</f>
        <v>200</v>
      </c>
      <c r="M164" s="74">
        <f>M165</f>
        <v>210</v>
      </c>
    </row>
    <row r="165" spans="1:13" ht="15">
      <c r="A165" s="115" t="s">
        <v>690</v>
      </c>
      <c r="B165" s="270">
        <v>110</v>
      </c>
      <c r="C165" s="100" t="s">
        <v>56</v>
      </c>
      <c r="D165" s="99" t="s">
        <v>341</v>
      </c>
      <c r="E165" s="99" t="s">
        <v>132</v>
      </c>
      <c r="F165" s="99" t="s">
        <v>174</v>
      </c>
      <c r="G165" s="99" t="s">
        <v>367</v>
      </c>
      <c r="H165" s="99" t="s">
        <v>691</v>
      </c>
      <c r="I165" s="74">
        <v>196.6</v>
      </c>
      <c r="J165" s="74">
        <v>196.6</v>
      </c>
      <c r="K165" s="271">
        <f t="shared" si="23"/>
        <v>0</v>
      </c>
      <c r="L165" s="74">
        <v>200</v>
      </c>
      <c r="M165" s="74">
        <v>210</v>
      </c>
    </row>
    <row r="166" spans="1:13" s="276" customFormat="1" ht="14.25">
      <c r="A166" s="124" t="s">
        <v>368</v>
      </c>
      <c r="B166" s="266">
        <v>110</v>
      </c>
      <c r="C166" s="95" t="s">
        <v>56</v>
      </c>
      <c r="D166" s="67" t="s">
        <v>341</v>
      </c>
      <c r="E166" s="67" t="s">
        <v>132</v>
      </c>
      <c r="F166" s="67" t="s">
        <v>187</v>
      </c>
      <c r="G166" s="67" t="s">
        <v>150</v>
      </c>
      <c r="H166" s="67"/>
      <c r="I166" s="36">
        <f aca="true" t="shared" si="24" ref="I166:M167">I167</f>
        <v>196.6</v>
      </c>
      <c r="J166" s="36">
        <f t="shared" si="24"/>
        <v>196.6</v>
      </c>
      <c r="K166" s="267">
        <f t="shared" si="23"/>
        <v>0</v>
      </c>
      <c r="L166" s="36">
        <f t="shared" si="24"/>
        <v>208.5</v>
      </c>
      <c r="M166" s="36">
        <f t="shared" si="24"/>
        <v>211.9</v>
      </c>
    </row>
    <row r="167" spans="1:13" s="276" customFormat="1" ht="30">
      <c r="A167" s="115" t="s">
        <v>142</v>
      </c>
      <c r="B167" s="270">
        <v>110</v>
      </c>
      <c r="C167" s="100" t="s">
        <v>56</v>
      </c>
      <c r="D167" s="99" t="s">
        <v>341</v>
      </c>
      <c r="E167" s="99" t="s">
        <v>132</v>
      </c>
      <c r="F167" s="99" t="s">
        <v>187</v>
      </c>
      <c r="G167" s="99" t="s">
        <v>369</v>
      </c>
      <c r="H167" s="99"/>
      <c r="I167" s="74">
        <f t="shared" si="24"/>
        <v>196.6</v>
      </c>
      <c r="J167" s="74">
        <f t="shared" si="24"/>
        <v>196.6</v>
      </c>
      <c r="K167" s="271">
        <f t="shared" si="23"/>
        <v>0</v>
      </c>
      <c r="L167" s="74">
        <f t="shared" si="24"/>
        <v>208.5</v>
      </c>
      <c r="M167" s="74">
        <f t="shared" si="24"/>
        <v>211.9</v>
      </c>
    </row>
    <row r="168" spans="1:13" s="276" customFormat="1" ht="15">
      <c r="A168" s="109" t="s">
        <v>690</v>
      </c>
      <c r="B168" s="270">
        <v>110</v>
      </c>
      <c r="C168" s="100" t="s">
        <v>56</v>
      </c>
      <c r="D168" s="99" t="s">
        <v>341</v>
      </c>
      <c r="E168" s="99" t="s">
        <v>132</v>
      </c>
      <c r="F168" s="99" t="s">
        <v>187</v>
      </c>
      <c r="G168" s="99" t="s">
        <v>369</v>
      </c>
      <c r="H168" s="99" t="s">
        <v>691</v>
      </c>
      <c r="I168" s="74">
        <v>196.6</v>
      </c>
      <c r="J168" s="74">
        <v>196.6</v>
      </c>
      <c r="K168" s="271">
        <f t="shared" si="23"/>
        <v>0</v>
      </c>
      <c r="L168" s="74">
        <v>208.5</v>
      </c>
      <c r="M168" s="74">
        <v>211.9</v>
      </c>
    </row>
    <row r="169" spans="1:13" ht="21" customHeight="1">
      <c r="A169" s="127" t="s">
        <v>424</v>
      </c>
      <c r="B169" s="266">
        <v>110</v>
      </c>
      <c r="C169" s="95" t="s">
        <v>56</v>
      </c>
      <c r="D169" s="67" t="s">
        <v>425</v>
      </c>
      <c r="E169" s="67" t="s">
        <v>148</v>
      </c>
      <c r="F169" s="67" t="s">
        <v>149</v>
      </c>
      <c r="G169" s="67" t="s">
        <v>150</v>
      </c>
      <c r="H169" s="67"/>
      <c r="I169" s="36">
        <f aca="true" t="shared" si="25" ref="I169:M172">I170</f>
        <v>895.4</v>
      </c>
      <c r="J169" s="36">
        <f t="shared" si="25"/>
        <v>895.4</v>
      </c>
      <c r="K169" s="267">
        <f aca="true" t="shared" si="26" ref="K169:K186">J169-I169</f>
        <v>0</v>
      </c>
      <c r="L169" s="36">
        <f t="shared" si="25"/>
        <v>0</v>
      </c>
      <c r="M169" s="36">
        <f t="shared" si="25"/>
        <v>0</v>
      </c>
    </row>
    <row r="170" spans="1:13" ht="18" customHeight="1">
      <c r="A170" s="124" t="s">
        <v>399</v>
      </c>
      <c r="B170" s="266">
        <v>110</v>
      </c>
      <c r="C170" s="95" t="s">
        <v>56</v>
      </c>
      <c r="D170" s="67" t="s">
        <v>425</v>
      </c>
      <c r="E170" s="67" t="s">
        <v>329</v>
      </c>
      <c r="F170" s="67" t="s">
        <v>149</v>
      </c>
      <c r="G170" s="67" t="s">
        <v>150</v>
      </c>
      <c r="H170" s="67"/>
      <c r="I170" s="36">
        <f t="shared" si="25"/>
        <v>895.4</v>
      </c>
      <c r="J170" s="36">
        <f t="shared" si="25"/>
        <v>895.4</v>
      </c>
      <c r="K170" s="267">
        <f t="shared" si="26"/>
        <v>0</v>
      </c>
      <c r="L170" s="36">
        <f t="shared" si="25"/>
        <v>0</v>
      </c>
      <c r="M170" s="36">
        <f t="shared" si="25"/>
        <v>0</v>
      </c>
    </row>
    <row r="171" spans="1:13" s="276" customFormat="1" ht="19.5" customHeight="1">
      <c r="A171" s="125" t="s">
        <v>399</v>
      </c>
      <c r="B171" s="266">
        <v>110</v>
      </c>
      <c r="C171" s="95" t="s">
        <v>56</v>
      </c>
      <c r="D171" s="67" t="s">
        <v>425</v>
      </c>
      <c r="E171" s="67" t="s">
        <v>329</v>
      </c>
      <c r="F171" s="67" t="s">
        <v>147</v>
      </c>
      <c r="G171" s="67" t="s">
        <v>150</v>
      </c>
      <c r="H171" s="67"/>
      <c r="I171" s="36">
        <f>I172+I176+I174</f>
        <v>895.4</v>
      </c>
      <c r="J171" s="36">
        <f>J172+J176+J174</f>
        <v>895.4</v>
      </c>
      <c r="K171" s="267">
        <f t="shared" si="26"/>
        <v>0</v>
      </c>
      <c r="L171" s="36">
        <f>L172+L176+L174</f>
        <v>0</v>
      </c>
      <c r="M171" s="36">
        <f>M172+M176+M174</f>
        <v>0</v>
      </c>
    </row>
    <row r="172" spans="1:13" ht="17.25" customHeight="1" hidden="1">
      <c r="A172" s="111" t="s">
        <v>444</v>
      </c>
      <c r="B172" s="270">
        <v>110</v>
      </c>
      <c r="C172" s="100" t="s">
        <v>56</v>
      </c>
      <c r="D172" s="99" t="s">
        <v>425</v>
      </c>
      <c r="E172" s="99" t="s">
        <v>329</v>
      </c>
      <c r="F172" s="99" t="s">
        <v>147</v>
      </c>
      <c r="G172" s="99" t="s">
        <v>445</v>
      </c>
      <c r="H172" s="99"/>
      <c r="I172" s="74">
        <f t="shared" si="25"/>
        <v>0</v>
      </c>
      <c r="J172" s="74">
        <f t="shared" si="25"/>
        <v>0</v>
      </c>
      <c r="K172" s="271">
        <f t="shared" si="26"/>
        <v>0</v>
      </c>
      <c r="L172" s="74">
        <f t="shared" si="25"/>
        <v>0</v>
      </c>
      <c r="M172" s="74">
        <f t="shared" si="25"/>
        <v>0</v>
      </c>
    </row>
    <row r="173" spans="1:13" s="269" customFormat="1" ht="30" customHeight="1" hidden="1">
      <c r="A173" s="111" t="s">
        <v>683</v>
      </c>
      <c r="B173" s="270">
        <v>110</v>
      </c>
      <c r="C173" s="100" t="s">
        <v>56</v>
      </c>
      <c r="D173" s="99" t="s">
        <v>425</v>
      </c>
      <c r="E173" s="99" t="s">
        <v>329</v>
      </c>
      <c r="F173" s="99" t="s">
        <v>147</v>
      </c>
      <c r="G173" s="99" t="s">
        <v>445</v>
      </c>
      <c r="H173" s="99" t="s">
        <v>682</v>
      </c>
      <c r="I173" s="74"/>
      <c r="J173" s="273"/>
      <c r="K173" s="271">
        <f t="shared" si="26"/>
        <v>0</v>
      </c>
      <c r="L173" s="74"/>
      <c r="M173" s="74"/>
    </row>
    <row r="174" spans="1:13" s="269" customFormat="1" ht="22.5" customHeight="1">
      <c r="A174" s="111" t="s">
        <v>1093</v>
      </c>
      <c r="B174" s="270">
        <v>110</v>
      </c>
      <c r="C174" s="100" t="s">
        <v>56</v>
      </c>
      <c r="D174" s="99" t="s">
        <v>425</v>
      </c>
      <c r="E174" s="99" t="s">
        <v>329</v>
      </c>
      <c r="F174" s="99" t="s">
        <v>147</v>
      </c>
      <c r="G174" s="99" t="s">
        <v>1092</v>
      </c>
      <c r="H174" s="99"/>
      <c r="I174" s="119">
        <f>I175</f>
        <v>650</v>
      </c>
      <c r="J174" s="119">
        <f>J175</f>
        <v>650</v>
      </c>
      <c r="K174" s="271">
        <f t="shared" si="26"/>
        <v>0</v>
      </c>
      <c r="L174" s="74">
        <f>L175</f>
        <v>0</v>
      </c>
      <c r="M174" s="74">
        <f>M175</f>
        <v>0</v>
      </c>
    </row>
    <row r="175" spans="1:13" s="269" customFormat="1" ht="30" customHeight="1">
      <c r="A175" s="111" t="s">
        <v>683</v>
      </c>
      <c r="B175" s="270">
        <v>110</v>
      </c>
      <c r="C175" s="100" t="s">
        <v>56</v>
      </c>
      <c r="D175" s="99" t="s">
        <v>425</v>
      </c>
      <c r="E175" s="99" t="s">
        <v>329</v>
      </c>
      <c r="F175" s="99" t="s">
        <v>147</v>
      </c>
      <c r="G175" s="99" t="s">
        <v>1092</v>
      </c>
      <c r="H175" s="99" t="s">
        <v>682</v>
      </c>
      <c r="I175" s="119">
        <f>450+100+100</f>
        <v>650</v>
      </c>
      <c r="J175" s="119">
        <f>450+100+100</f>
        <v>650</v>
      </c>
      <c r="K175" s="271">
        <f t="shared" si="26"/>
        <v>0</v>
      </c>
      <c r="L175" s="74"/>
      <c r="M175" s="74"/>
    </row>
    <row r="176" spans="1:13" s="269" customFormat="1" ht="46.5" customHeight="1">
      <c r="A176" s="111" t="s">
        <v>739</v>
      </c>
      <c r="B176" s="270">
        <v>110</v>
      </c>
      <c r="C176" s="100" t="s">
        <v>56</v>
      </c>
      <c r="D176" s="99" t="s">
        <v>425</v>
      </c>
      <c r="E176" s="99" t="s">
        <v>329</v>
      </c>
      <c r="F176" s="99" t="s">
        <v>147</v>
      </c>
      <c r="G176" s="99" t="s">
        <v>738</v>
      </c>
      <c r="H176" s="99"/>
      <c r="I176" s="74">
        <f>I177</f>
        <v>245.4</v>
      </c>
      <c r="J176" s="74">
        <f>J177</f>
        <v>245.4</v>
      </c>
      <c r="K176" s="271">
        <f t="shared" si="26"/>
        <v>0</v>
      </c>
      <c r="L176" s="74">
        <f>L177</f>
        <v>0</v>
      </c>
      <c r="M176" s="74">
        <f>M177</f>
        <v>0</v>
      </c>
    </row>
    <row r="177" spans="1:13" s="269" customFormat="1" ht="18.75" customHeight="1">
      <c r="A177" s="109" t="s">
        <v>690</v>
      </c>
      <c r="B177" s="270">
        <v>110</v>
      </c>
      <c r="C177" s="100" t="s">
        <v>56</v>
      </c>
      <c r="D177" s="99" t="s">
        <v>425</v>
      </c>
      <c r="E177" s="99" t="s">
        <v>329</v>
      </c>
      <c r="F177" s="99" t="s">
        <v>147</v>
      </c>
      <c r="G177" s="99" t="s">
        <v>738</v>
      </c>
      <c r="H177" s="99"/>
      <c r="I177" s="277">
        <v>245.4</v>
      </c>
      <c r="J177" s="277">
        <v>245.4</v>
      </c>
      <c r="K177" s="271">
        <f t="shared" si="26"/>
        <v>0</v>
      </c>
      <c r="L177" s="74"/>
      <c r="M177" s="74"/>
    </row>
    <row r="178" spans="1:13" s="269" customFormat="1" ht="15">
      <c r="A178" s="127" t="s">
        <v>57</v>
      </c>
      <c r="B178" s="266" t="s">
        <v>23</v>
      </c>
      <c r="C178" s="95" t="s">
        <v>58</v>
      </c>
      <c r="D178" s="67"/>
      <c r="E178" s="67"/>
      <c r="F178" s="67"/>
      <c r="G178" s="67"/>
      <c r="H178" s="67"/>
      <c r="I178" s="36">
        <f>I179+I207+I245+I226</f>
        <v>65355.4</v>
      </c>
      <c r="J178" s="36">
        <f>J179+J207+J245+J226</f>
        <v>65655.4</v>
      </c>
      <c r="K178" s="267">
        <f t="shared" si="26"/>
        <v>299.9999999999927</v>
      </c>
      <c r="L178" s="36">
        <f>L179+L207+L245+L226</f>
        <v>50424.5</v>
      </c>
      <c r="M178" s="36">
        <f>M179+M207+M245+M226</f>
        <v>42506.8</v>
      </c>
    </row>
    <row r="179" spans="1:13" s="269" customFormat="1" ht="15">
      <c r="A179" s="127" t="s">
        <v>59</v>
      </c>
      <c r="B179" s="266" t="s">
        <v>23</v>
      </c>
      <c r="C179" s="95" t="s">
        <v>60</v>
      </c>
      <c r="D179" s="67"/>
      <c r="E179" s="67"/>
      <c r="F179" s="67"/>
      <c r="G179" s="67"/>
      <c r="H179" s="67"/>
      <c r="I179" s="36">
        <f>I180</f>
        <v>15390.2</v>
      </c>
      <c r="J179" s="36">
        <f>J180</f>
        <v>15690.2</v>
      </c>
      <c r="K179" s="267">
        <f t="shared" si="26"/>
        <v>300</v>
      </c>
      <c r="L179" s="36">
        <f>L180</f>
        <v>15496.2</v>
      </c>
      <c r="M179" s="36">
        <f>M180</f>
        <v>15657</v>
      </c>
    </row>
    <row r="180" spans="1:13" s="269" customFormat="1" ht="42.75">
      <c r="A180" s="124" t="s">
        <v>287</v>
      </c>
      <c r="B180" s="266" t="s">
        <v>23</v>
      </c>
      <c r="C180" s="95" t="s">
        <v>60</v>
      </c>
      <c r="D180" s="67" t="s">
        <v>288</v>
      </c>
      <c r="E180" s="67" t="s">
        <v>148</v>
      </c>
      <c r="F180" s="67" t="s">
        <v>149</v>
      </c>
      <c r="G180" s="67" t="s">
        <v>150</v>
      </c>
      <c r="H180" s="67"/>
      <c r="I180" s="36">
        <f>I181+I187+I193</f>
        <v>15390.2</v>
      </c>
      <c r="J180" s="36">
        <f>J181+J187+J193</f>
        <v>15690.2</v>
      </c>
      <c r="K180" s="267">
        <f t="shared" si="26"/>
        <v>300</v>
      </c>
      <c r="L180" s="36">
        <f>L181+L187+L193</f>
        <v>15496.2</v>
      </c>
      <c r="M180" s="36">
        <f>M181+M187+M193</f>
        <v>15657</v>
      </c>
    </row>
    <row r="181" spans="1:13" s="269" customFormat="1" ht="42.75">
      <c r="A181" s="124" t="s">
        <v>771</v>
      </c>
      <c r="B181" s="266" t="s">
        <v>23</v>
      </c>
      <c r="C181" s="95" t="s">
        <v>60</v>
      </c>
      <c r="D181" s="67" t="s">
        <v>288</v>
      </c>
      <c r="E181" s="67" t="s">
        <v>131</v>
      </c>
      <c r="F181" s="67" t="s">
        <v>149</v>
      </c>
      <c r="G181" s="67" t="s">
        <v>150</v>
      </c>
      <c r="H181" s="67"/>
      <c r="I181" s="36">
        <f>I182</f>
        <v>7874.2</v>
      </c>
      <c r="J181" s="36">
        <f>J182</f>
        <v>7874.2</v>
      </c>
      <c r="K181" s="267">
        <f t="shared" si="26"/>
        <v>0</v>
      </c>
      <c r="L181" s="36">
        <f>L182</f>
        <v>7874.2</v>
      </c>
      <c r="M181" s="36">
        <f>M182</f>
        <v>8100</v>
      </c>
    </row>
    <row r="182" spans="1:13" s="268" customFormat="1" ht="33.75" customHeight="1">
      <c r="A182" s="124" t="s">
        <v>826</v>
      </c>
      <c r="B182" s="266" t="s">
        <v>23</v>
      </c>
      <c r="C182" s="95" t="s">
        <v>60</v>
      </c>
      <c r="D182" s="67" t="s">
        <v>288</v>
      </c>
      <c r="E182" s="67" t="s">
        <v>131</v>
      </c>
      <c r="F182" s="67" t="s">
        <v>174</v>
      </c>
      <c r="G182" s="67" t="s">
        <v>150</v>
      </c>
      <c r="H182" s="67"/>
      <c r="I182" s="36">
        <f>I183+I186</f>
        <v>7874.2</v>
      </c>
      <c r="J182" s="36">
        <f>J183+J186</f>
        <v>7874.2</v>
      </c>
      <c r="K182" s="267">
        <f t="shared" si="26"/>
        <v>0</v>
      </c>
      <c r="L182" s="36">
        <f>L183+L186</f>
        <v>7874.2</v>
      </c>
      <c r="M182" s="36">
        <f>M183+M186</f>
        <v>8100</v>
      </c>
    </row>
    <row r="183" spans="1:13" s="269" customFormat="1" ht="15">
      <c r="A183" s="111" t="s">
        <v>289</v>
      </c>
      <c r="B183" s="270" t="s">
        <v>23</v>
      </c>
      <c r="C183" s="100" t="s">
        <v>60</v>
      </c>
      <c r="D183" s="99" t="s">
        <v>288</v>
      </c>
      <c r="E183" s="99" t="s">
        <v>131</v>
      </c>
      <c r="F183" s="99" t="s">
        <v>174</v>
      </c>
      <c r="G183" s="99" t="s">
        <v>290</v>
      </c>
      <c r="H183" s="99"/>
      <c r="I183" s="74">
        <f>I184</f>
        <v>3833.5</v>
      </c>
      <c r="J183" s="74">
        <f>J184</f>
        <v>3833.5</v>
      </c>
      <c r="K183" s="271">
        <f t="shared" si="26"/>
        <v>0</v>
      </c>
      <c r="L183" s="74">
        <f>L184</f>
        <v>3833.5</v>
      </c>
      <c r="M183" s="74">
        <f>M184</f>
        <v>4000</v>
      </c>
    </row>
    <row r="184" spans="1:13" s="269" customFormat="1" ht="15">
      <c r="A184" s="115" t="s">
        <v>684</v>
      </c>
      <c r="B184" s="270" t="s">
        <v>23</v>
      </c>
      <c r="C184" s="100" t="s">
        <v>60</v>
      </c>
      <c r="D184" s="99" t="s">
        <v>288</v>
      </c>
      <c r="E184" s="99" t="s">
        <v>131</v>
      </c>
      <c r="F184" s="99" t="s">
        <v>174</v>
      </c>
      <c r="G184" s="99" t="s">
        <v>290</v>
      </c>
      <c r="H184" s="99" t="s">
        <v>685</v>
      </c>
      <c r="I184" s="74">
        <v>3833.5</v>
      </c>
      <c r="J184" s="74">
        <v>3833.5</v>
      </c>
      <c r="K184" s="271">
        <f t="shared" si="26"/>
        <v>0</v>
      </c>
      <c r="L184" s="74">
        <v>3833.5</v>
      </c>
      <c r="M184" s="74">
        <v>4000</v>
      </c>
    </row>
    <row r="185" spans="1:13" s="269" customFormat="1" ht="15">
      <c r="A185" s="278" t="s">
        <v>773</v>
      </c>
      <c r="B185" s="270" t="s">
        <v>23</v>
      </c>
      <c r="C185" s="100" t="s">
        <v>60</v>
      </c>
      <c r="D185" s="99" t="s">
        <v>288</v>
      </c>
      <c r="E185" s="99" t="s">
        <v>131</v>
      </c>
      <c r="F185" s="99" t="s">
        <v>174</v>
      </c>
      <c r="G185" s="99" t="s">
        <v>291</v>
      </c>
      <c r="H185" s="99"/>
      <c r="I185" s="74">
        <f>I186</f>
        <v>4040.7</v>
      </c>
      <c r="J185" s="74">
        <f>J186</f>
        <v>4040.7</v>
      </c>
      <c r="K185" s="271">
        <f t="shared" si="26"/>
        <v>0</v>
      </c>
      <c r="L185" s="74">
        <f>L186</f>
        <v>4040.7</v>
      </c>
      <c r="M185" s="74">
        <f>M186</f>
        <v>4100</v>
      </c>
    </row>
    <row r="186" spans="1:13" s="269" customFormat="1" ht="15">
      <c r="A186" s="115" t="s">
        <v>684</v>
      </c>
      <c r="B186" s="270" t="s">
        <v>23</v>
      </c>
      <c r="C186" s="100" t="s">
        <v>60</v>
      </c>
      <c r="D186" s="99" t="s">
        <v>288</v>
      </c>
      <c r="E186" s="99" t="s">
        <v>131</v>
      </c>
      <c r="F186" s="99" t="s">
        <v>174</v>
      </c>
      <c r="G186" s="99" t="s">
        <v>291</v>
      </c>
      <c r="H186" s="99" t="s">
        <v>685</v>
      </c>
      <c r="I186" s="74">
        <v>4040.7</v>
      </c>
      <c r="J186" s="74">
        <v>4040.7</v>
      </c>
      <c r="K186" s="271">
        <f t="shared" si="26"/>
        <v>0</v>
      </c>
      <c r="L186" s="74">
        <v>4040.7</v>
      </c>
      <c r="M186" s="74">
        <v>4100</v>
      </c>
    </row>
    <row r="187" spans="1:13" s="268" customFormat="1" ht="28.5">
      <c r="A187" s="97" t="s">
        <v>296</v>
      </c>
      <c r="B187" s="266">
        <v>110</v>
      </c>
      <c r="C187" s="95" t="s">
        <v>60</v>
      </c>
      <c r="D187" s="67" t="s">
        <v>288</v>
      </c>
      <c r="E187" s="67" t="s">
        <v>132</v>
      </c>
      <c r="F187" s="67" t="s">
        <v>149</v>
      </c>
      <c r="G187" s="67" t="s">
        <v>150</v>
      </c>
      <c r="H187" s="67"/>
      <c r="I187" s="36">
        <f>I188</f>
        <v>6731</v>
      </c>
      <c r="J187" s="36">
        <f>J188</f>
        <v>7031</v>
      </c>
      <c r="K187" s="267">
        <f aca="true" t="shared" si="27" ref="K187:K197">J187-I187</f>
        <v>300</v>
      </c>
      <c r="L187" s="36">
        <f>L188</f>
        <v>6772</v>
      </c>
      <c r="M187" s="36">
        <f>M188</f>
        <v>6772</v>
      </c>
    </row>
    <row r="188" spans="1:13" s="268" customFormat="1" ht="32.25" customHeight="1">
      <c r="A188" s="138" t="s">
        <v>774</v>
      </c>
      <c r="B188" s="266">
        <v>110</v>
      </c>
      <c r="C188" s="95" t="s">
        <v>60</v>
      </c>
      <c r="D188" s="67" t="s">
        <v>288</v>
      </c>
      <c r="E188" s="67" t="s">
        <v>132</v>
      </c>
      <c r="F188" s="67" t="s">
        <v>147</v>
      </c>
      <c r="G188" s="67" t="s">
        <v>150</v>
      </c>
      <c r="H188" s="67"/>
      <c r="I188" s="36">
        <f>I189+I192</f>
        <v>6731</v>
      </c>
      <c r="J188" s="36">
        <f>J189+J192</f>
        <v>7031</v>
      </c>
      <c r="K188" s="267">
        <f t="shared" si="27"/>
        <v>300</v>
      </c>
      <c r="L188" s="36">
        <f>L189+L192</f>
        <v>6772</v>
      </c>
      <c r="M188" s="36">
        <f>M189+M192</f>
        <v>6772</v>
      </c>
    </row>
    <row r="189" spans="1:13" s="269" customFormat="1" ht="30">
      <c r="A189" s="107" t="s">
        <v>297</v>
      </c>
      <c r="B189" s="270">
        <v>110</v>
      </c>
      <c r="C189" s="100" t="s">
        <v>60</v>
      </c>
      <c r="D189" s="99" t="s">
        <v>288</v>
      </c>
      <c r="E189" s="99" t="s">
        <v>132</v>
      </c>
      <c r="F189" s="99" t="s">
        <v>147</v>
      </c>
      <c r="G189" s="99" t="s">
        <v>298</v>
      </c>
      <c r="H189" s="99"/>
      <c r="I189" s="74">
        <f>I190</f>
        <v>659</v>
      </c>
      <c r="J189" s="74">
        <f>J190</f>
        <v>959</v>
      </c>
      <c r="K189" s="271">
        <f t="shared" si="27"/>
        <v>300</v>
      </c>
      <c r="L189" s="74">
        <f>L190</f>
        <v>700</v>
      </c>
      <c r="M189" s="74">
        <f>M190</f>
        <v>700</v>
      </c>
    </row>
    <row r="190" spans="1:13" s="269" customFormat="1" ht="15">
      <c r="A190" s="107" t="s">
        <v>684</v>
      </c>
      <c r="B190" s="270">
        <v>110</v>
      </c>
      <c r="C190" s="100" t="s">
        <v>60</v>
      </c>
      <c r="D190" s="99" t="s">
        <v>288</v>
      </c>
      <c r="E190" s="99" t="s">
        <v>132</v>
      </c>
      <c r="F190" s="99" t="s">
        <v>147</v>
      </c>
      <c r="G190" s="99" t="s">
        <v>298</v>
      </c>
      <c r="H190" s="99" t="s">
        <v>685</v>
      </c>
      <c r="I190" s="74">
        <v>659</v>
      </c>
      <c r="J190" s="74">
        <f>659+300</f>
        <v>959</v>
      </c>
      <c r="K190" s="271">
        <f t="shared" si="27"/>
        <v>300</v>
      </c>
      <c r="L190" s="74">
        <v>700</v>
      </c>
      <c r="M190" s="74">
        <v>700</v>
      </c>
    </row>
    <row r="191" spans="1:13" s="269" customFormat="1" ht="15">
      <c r="A191" s="115" t="s">
        <v>294</v>
      </c>
      <c r="B191" s="270" t="s">
        <v>23</v>
      </c>
      <c r="C191" s="100" t="s">
        <v>60</v>
      </c>
      <c r="D191" s="99" t="s">
        <v>288</v>
      </c>
      <c r="E191" s="99" t="s">
        <v>132</v>
      </c>
      <c r="F191" s="99" t="s">
        <v>147</v>
      </c>
      <c r="G191" s="99" t="s">
        <v>295</v>
      </c>
      <c r="H191" s="99"/>
      <c r="I191" s="74">
        <f>I192</f>
        <v>6072</v>
      </c>
      <c r="J191" s="74">
        <f>J192</f>
        <v>6072</v>
      </c>
      <c r="K191" s="271">
        <f t="shared" si="27"/>
        <v>0</v>
      </c>
      <c r="L191" s="74">
        <f>L192</f>
        <v>6072</v>
      </c>
      <c r="M191" s="74">
        <f>M192</f>
        <v>6072</v>
      </c>
    </row>
    <row r="192" spans="1:13" s="269" customFormat="1" ht="15">
      <c r="A192" s="115" t="s">
        <v>684</v>
      </c>
      <c r="B192" s="270" t="s">
        <v>23</v>
      </c>
      <c r="C192" s="100" t="s">
        <v>60</v>
      </c>
      <c r="D192" s="99" t="s">
        <v>288</v>
      </c>
      <c r="E192" s="99" t="s">
        <v>132</v>
      </c>
      <c r="F192" s="99" t="s">
        <v>147</v>
      </c>
      <c r="G192" s="99" t="s">
        <v>295</v>
      </c>
      <c r="H192" s="99" t="s">
        <v>685</v>
      </c>
      <c r="I192" s="74">
        <v>6072</v>
      </c>
      <c r="J192" s="74">
        <v>6072</v>
      </c>
      <c r="K192" s="271">
        <f t="shared" si="27"/>
        <v>0</v>
      </c>
      <c r="L192" s="74">
        <v>6072</v>
      </c>
      <c r="M192" s="74">
        <v>6072</v>
      </c>
    </row>
    <row r="193" spans="1:13" s="269" customFormat="1" ht="42.75">
      <c r="A193" s="124" t="s">
        <v>697</v>
      </c>
      <c r="B193" s="266" t="s">
        <v>23</v>
      </c>
      <c r="C193" s="95" t="s">
        <v>60</v>
      </c>
      <c r="D193" s="67" t="s">
        <v>288</v>
      </c>
      <c r="E193" s="67" t="s">
        <v>135</v>
      </c>
      <c r="F193" s="67" t="s">
        <v>149</v>
      </c>
      <c r="G193" s="67" t="s">
        <v>150</v>
      </c>
      <c r="H193" s="67"/>
      <c r="I193" s="36">
        <f>I194</f>
        <v>785</v>
      </c>
      <c r="J193" s="36">
        <f>J194</f>
        <v>785</v>
      </c>
      <c r="K193" s="267">
        <f t="shared" si="27"/>
        <v>0</v>
      </c>
      <c r="L193" s="36">
        <f>L194</f>
        <v>850</v>
      </c>
      <c r="M193" s="36">
        <f>M194</f>
        <v>785</v>
      </c>
    </row>
    <row r="194" spans="1:13" s="268" customFormat="1" ht="45" customHeight="1">
      <c r="A194" s="124" t="s">
        <v>292</v>
      </c>
      <c r="B194" s="279" t="s">
        <v>23</v>
      </c>
      <c r="C194" s="280" t="s">
        <v>60</v>
      </c>
      <c r="D194" s="139" t="s">
        <v>288</v>
      </c>
      <c r="E194" s="139" t="s">
        <v>135</v>
      </c>
      <c r="F194" s="139" t="s">
        <v>147</v>
      </c>
      <c r="G194" s="139" t="s">
        <v>150</v>
      </c>
      <c r="H194" s="139"/>
      <c r="I194" s="84">
        <f>I197+I201+I205+I203+I195</f>
        <v>785</v>
      </c>
      <c r="J194" s="84">
        <f>J197+J201+J205+J203+J195</f>
        <v>785</v>
      </c>
      <c r="K194" s="267">
        <f t="shared" si="27"/>
        <v>0</v>
      </c>
      <c r="L194" s="84">
        <f>L197+L201+L205+L203+L195</f>
        <v>850</v>
      </c>
      <c r="M194" s="84">
        <f>M197+M201+M205+M203+M195</f>
        <v>785</v>
      </c>
    </row>
    <row r="195" spans="1:13" s="269" customFormat="1" ht="33.75" customHeight="1">
      <c r="A195" s="115" t="s">
        <v>1107</v>
      </c>
      <c r="B195" s="274">
        <v>110</v>
      </c>
      <c r="C195" s="130" t="s">
        <v>60</v>
      </c>
      <c r="D195" s="21" t="s">
        <v>288</v>
      </c>
      <c r="E195" s="21" t="s">
        <v>135</v>
      </c>
      <c r="F195" s="21" t="s">
        <v>147</v>
      </c>
      <c r="G195" s="21" t="s">
        <v>1108</v>
      </c>
      <c r="H195" s="21"/>
      <c r="I195" s="275">
        <f>I196</f>
        <v>35</v>
      </c>
      <c r="J195" s="275">
        <f>J196</f>
        <v>35</v>
      </c>
      <c r="K195" s="271">
        <f t="shared" si="27"/>
        <v>0</v>
      </c>
      <c r="L195" s="275">
        <f>L196</f>
        <v>60</v>
      </c>
      <c r="M195" s="275">
        <f>M196</f>
        <v>60</v>
      </c>
    </row>
    <row r="196" spans="1:13" s="268" customFormat="1" ht="18.75" customHeight="1">
      <c r="A196" s="115" t="s">
        <v>684</v>
      </c>
      <c r="B196" s="274">
        <v>110</v>
      </c>
      <c r="C196" s="130" t="s">
        <v>60</v>
      </c>
      <c r="D196" s="21" t="s">
        <v>288</v>
      </c>
      <c r="E196" s="21" t="s">
        <v>135</v>
      </c>
      <c r="F196" s="21" t="s">
        <v>147</v>
      </c>
      <c r="G196" s="21" t="s">
        <v>1108</v>
      </c>
      <c r="H196" s="21" t="s">
        <v>685</v>
      </c>
      <c r="I196" s="275">
        <v>35</v>
      </c>
      <c r="J196" s="275">
        <v>35</v>
      </c>
      <c r="K196" s="271">
        <f t="shared" si="27"/>
        <v>0</v>
      </c>
      <c r="L196" s="275">
        <v>60</v>
      </c>
      <c r="M196" s="275">
        <v>60</v>
      </c>
    </row>
    <row r="197" spans="1:13" s="269" customFormat="1" ht="45">
      <c r="A197" s="115" t="s">
        <v>794</v>
      </c>
      <c r="B197" s="270" t="s">
        <v>23</v>
      </c>
      <c r="C197" s="100" t="s">
        <v>60</v>
      </c>
      <c r="D197" s="99" t="s">
        <v>288</v>
      </c>
      <c r="E197" s="99" t="s">
        <v>135</v>
      </c>
      <c r="F197" s="21" t="s">
        <v>147</v>
      </c>
      <c r="G197" s="99" t="s">
        <v>293</v>
      </c>
      <c r="H197" s="99"/>
      <c r="I197" s="74">
        <f>I198+I199+I200</f>
        <v>510</v>
      </c>
      <c r="J197" s="74">
        <f>J198+J199+J200</f>
        <v>510</v>
      </c>
      <c r="K197" s="271">
        <f t="shared" si="27"/>
        <v>0</v>
      </c>
      <c r="L197" s="74">
        <f>L198+L199</f>
        <v>550</v>
      </c>
      <c r="M197" s="74">
        <f>M198+M199</f>
        <v>485</v>
      </c>
    </row>
    <row r="198" spans="1:13" s="269" customFormat="1" ht="30">
      <c r="A198" s="111" t="s">
        <v>683</v>
      </c>
      <c r="B198" s="270" t="s">
        <v>23</v>
      </c>
      <c r="C198" s="100" t="s">
        <v>60</v>
      </c>
      <c r="D198" s="99" t="s">
        <v>288</v>
      </c>
      <c r="E198" s="99" t="s">
        <v>135</v>
      </c>
      <c r="F198" s="21" t="s">
        <v>147</v>
      </c>
      <c r="G198" s="99" t="s">
        <v>293</v>
      </c>
      <c r="H198" s="99" t="s">
        <v>682</v>
      </c>
      <c r="I198" s="74">
        <f>480+35+240-240-35</f>
        <v>480</v>
      </c>
      <c r="J198" s="74">
        <f>480+35+240-240-35</f>
        <v>480</v>
      </c>
      <c r="K198" s="271">
        <f aca="true" t="shared" si="28" ref="K198:K204">J198-I198</f>
        <v>0</v>
      </c>
      <c r="L198" s="74">
        <f>480+240+70-240-60</f>
        <v>490</v>
      </c>
      <c r="M198" s="74">
        <f>480+240+35-240-60</f>
        <v>455</v>
      </c>
    </row>
    <row r="199" spans="1:13" s="269" customFormat="1" ht="15">
      <c r="A199" s="111" t="s">
        <v>687</v>
      </c>
      <c r="B199" s="270">
        <v>110</v>
      </c>
      <c r="C199" s="100" t="s">
        <v>60</v>
      </c>
      <c r="D199" s="99" t="s">
        <v>288</v>
      </c>
      <c r="E199" s="99" t="s">
        <v>135</v>
      </c>
      <c r="F199" s="21" t="s">
        <v>147</v>
      </c>
      <c r="G199" s="99" t="s">
        <v>293</v>
      </c>
      <c r="H199" s="99" t="s">
        <v>686</v>
      </c>
      <c r="I199" s="74">
        <v>30</v>
      </c>
      <c r="J199" s="74">
        <v>30</v>
      </c>
      <c r="K199" s="271">
        <f t="shared" si="28"/>
        <v>0</v>
      </c>
      <c r="L199" s="74">
        <v>60</v>
      </c>
      <c r="M199" s="74">
        <v>30</v>
      </c>
    </row>
    <row r="200" spans="1:13" s="269" customFormat="1" ht="14.25" customHeight="1">
      <c r="A200" s="115" t="s">
        <v>684</v>
      </c>
      <c r="B200" s="270">
        <v>110</v>
      </c>
      <c r="C200" s="100" t="s">
        <v>60</v>
      </c>
      <c r="D200" s="99" t="s">
        <v>288</v>
      </c>
      <c r="E200" s="99" t="s">
        <v>135</v>
      </c>
      <c r="F200" s="21" t="s">
        <v>147</v>
      </c>
      <c r="G200" s="99" t="s">
        <v>293</v>
      </c>
      <c r="H200" s="99" t="s">
        <v>685</v>
      </c>
      <c r="I200" s="74">
        <f>35-35</f>
        <v>0</v>
      </c>
      <c r="J200" s="74">
        <f>35-35</f>
        <v>0</v>
      </c>
      <c r="K200" s="271">
        <f t="shared" si="28"/>
        <v>0</v>
      </c>
      <c r="L200" s="74"/>
      <c r="M200" s="74"/>
    </row>
    <row r="201" spans="1:13" s="269" customFormat="1" ht="23.25" customHeight="1" hidden="1">
      <c r="A201" s="107" t="s">
        <v>795</v>
      </c>
      <c r="B201" s="270">
        <v>110</v>
      </c>
      <c r="C201" s="100" t="s">
        <v>60</v>
      </c>
      <c r="D201" s="99" t="s">
        <v>288</v>
      </c>
      <c r="E201" s="99" t="s">
        <v>135</v>
      </c>
      <c r="F201" s="99" t="s">
        <v>147</v>
      </c>
      <c r="G201" s="99" t="s">
        <v>815</v>
      </c>
      <c r="H201" s="99"/>
      <c r="I201" s="74"/>
      <c r="J201" s="74">
        <f>J202</f>
        <v>0</v>
      </c>
      <c r="K201" s="271">
        <f t="shared" si="28"/>
        <v>0</v>
      </c>
      <c r="L201" s="74">
        <f>L202</f>
        <v>0</v>
      </c>
      <c r="M201" s="74">
        <f>M202</f>
        <v>0</v>
      </c>
    </row>
    <row r="202" spans="1:13" s="269" customFormat="1" ht="21.75" customHeight="1" hidden="1">
      <c r="A202" s="109" t="s">
        <v>683</v>
      </c>
      <c r="B202" s="270">
        <v>110</v>
      </c>
      <c r="C202" s="100" t="s">
        <v>60</v>
      </c>
      <c r="D202" s="99" t="s">
        <v>288</v>
      </c>
      <c r="E202" s="99" t="s">
        <v>135</v>
      </c>
      <c r="F202" s="99" t="s">
        <v>147</v>
      </c>
      <c r="G202" s="99" t="s">
        <v>815</v>
      </c>
      <c r="H202" s="99" t="s">
        <v>682</v>
      </c>
      <c r="I202" s="74"/>
      <c r="J202" s="74"/>
      <c r="K202" s="271">
        <f t="shared" si="28"/>
        <v>0</v>
      </c>
      <c r="L202" s="74"/>
      <c r="M202" s="74"/>
    </row>
    <row r="203" spans="1:13" s="269" customFormat="1" ht="60">
      <c r="A203" s="115" t="s">
        <v>1047</v>
      </c>
      <c r="B203" s="270">
        <v>110</v>
      </c>
      <c r="C203" s="100" t="s">
        <v>60</v>
      </c>
      <c r="D203" s="99" t="s">
        <v>288</v>
      </c>
      <c r="E203" s="99" t="s">
        <v>135</v>
      </c>
      <c r="F203" s="99" t="s">
        <v>147</v>
      </c>
      <c r="G203" s="99" t="s">
        <v>1046</v>
      </c>
      <c r="H203" s="99"/>
      <c r="I203" s="74">
        <f>I204</f>
        <v>240</v>
      </c>
      <c r="J203" s="74">
        <f>J204</f>
        <v>240</v>
      </c>
      <c r="K203" s="271">
        <f t="shared" si="28"/>
        <v>0</v>
      </c>
      <c r="L203" s="74">
        <f>L204</f>
        <v>240</v>
      </c>
      <c r="M203" s="74">
        <f>M204</f>
        <v>240</v>
      </c>
    </row>
    <row r="204" spans="1:13" s="269" customFormat="1" ht="30">
      <c r="A204" s="111" t="s">
        <v>683</v>
      </c>
      <c r="B204" s="270">
        <v>110</v>
      </c>
      <c r="C204" s="100" t="s">
        <v>60</v>
      </c>
      <c r="D204" s="99" t="s">
        <v>288</v>
      </c>
      <c r="E204" s="99" t="s">
        <v>135</v>
      </c>
      <c r="F204" s="99" t="s">
        <v>147</v>
      </c>
      <c r="G204" s="99" t="s">
        <v>1046</v>
      </c>
      <c r="H204" s="99" t="s">
        <v>691</v>
      </c>
      <c r="I204" s="74">
        <v>240</v>
      </c>
      <c r="J204" s="74">
        <v>240</v>
      </c>
      <c r="K204" s="271">
        <f t="shared" si="28"/>
        <v>0</v>
      </c>
      <c r="L204" s="74">
        <v>240</v>
      </c>
      <c r="M204" s="74">
        <v>240</v>
      </c>
    </row>
    <row r="205" spans="1:13" s="269" customFormat="1" ht="15" hidden="1">
      <c r="A205" s="115" t="s">
        <v>294</v>
      </c>
      <c r="B205" s="270" t="s">
        <v>23</v>
      </c>
      <c r="C205" s="100" t="s">
        <v>60</v>
      </c>
      <c r="D205" s="99" t="s">
        <v>288</v>
      </c>
      <c r="E205" s="99" t="s">
        <v>135</v>
      </c>
      <c r="F205" s="99" t="s">
        <v>147</v>
      </c>
      <c r="G205" s="99" t="s">
        <v>295</v>
      </c>
      <c r="H205" s="99"/>
      <c r="I205" s="119">
        <f>I206</f>
        <v>0</v>
      </c>
      <c r="J205" s="119">
        <f>J206</f>
        <v>0</v>
      </c>
      <c r="K205" s="271">
        <f aca="true" t="shared" si="29" ref="K205:K211">J205-I205</f>
        <v>0</v>
      </c>
      <c r="L205" s="119">
        <f>L206</f>
        <v>0</v>
      </c>
      <c r="M205" s="119">
        <f>M206</f>
        <v>0</v>
      </c>
    </row>
    <row r="206" spans="1:13" s="269" customFormat="1" ht="18" customHeight="1" hidden="1">
      <c r="A206" s="115" t="s">
        <v>684</v>
      </c>
      <c r="B206" s="270" t="s">
        <v>23</v>
      </c>
      <c r="C206" s="100" t="s">
        <v>60</v>
      </c>
      <c r="D206" s="99" t="s">
        <v>288</v>
      </c>
      <c r="E206" s="99" t="s">
        <v>135</v>
      </c>
      <c r="F206" s="99" t="s">
        <v>147</v>
      </c>
      <c r="G206" s="99" t="s">
        <v>295</v>
      </c>
      <c r="H206" s="99" t="s">
        <v>685</v>
      </c>
      <c r="I206" s="74">
        <v>0</v>
      </c>
      <c r="J206" s="74">
        <f>6072-6072</f>
        <v>0</v>
      </c>
      <c r="K206" s="271">
        <f t="shared" si="29"/>
        <v>0</v>
      </c>
      <c r="L206" s="74">
        <f>6072-6072</f>
        <v>0</v>
      </c>
      <c r="M206" s="74">
        <f>6072-6072</f>
        <v>0</v>
      </c>
    </row>
    <row r="207" spans="1:13" s="268" customFormat="1" ht="14.25">
      <c r="A207" s="127" t="s">
        <v>61</v>
      </c>
      <c r="B207" s="266">
        <v>110</v>
      </c>
      <c r="C207" s="95" t="s">
        <v>62</v>
      </c>
      <c r="D207" s="67"/>
      <c r="E207" s="67"/>
      <c r="F207" s="67"/>
      <c r="G207" s="67"/>
      <c r="H207" s="67"/>
      <c r="I207" s="36">
        <f>I213+I208</f>
        <v>1551.5</v>
      </c>
      <c r="J207" s="36">
        <f>J213+J208</f>
        <v>1551.5</v>
      </c>
      <c r="K207" s="267">
        <f t="shared" si="29"/>
        <v>0</v>
      </c>
      <c r="L207" s="36">
        <f>L213+L208</f>
        <v>0</v>
      </c>
      <c r="M207" s="36">
        <f>M213+M208</f>
        <v>8000</v>
      </c>
    </row>
    <row r="208" spans="1:13" s="268" customFormat="1" ht="71.25" hidden="1">
      <c r="A208" s="110" t="s">
        <v>834</v>
      </c>
      <c r="B208" s="266">
        <v>110</v>
      </c>
      <c r="C208" s="95" t="s">
        <v>62</v>
      </c>
      <c r="D208" s="67" t="s">
        <v>147</v>
      </c>
      <c r="E208" s="67" t="s">
        <v>148</v>
      </c>
      <c r="F208" s="67" t="s">
        <v>149</v>
      </c>
      <c r="G208" s="67" t="s">
        <v>150</v>
      </c>
      <c r="H208" s="67"/>
      <c r="I208" s="36">
        <f aca="true" t="shared" si="30" ref="I208:J211">I209</f>
        <v>0</v>
      </c>
      <c r="J208" s="36">
        <f t="shared" si="30"/>
        <v>0</v>
      </c>
      <c r="K208" s="267">
        <f t="shared" si="29"/>
        <v>0</v>
      </c>
      <c r="L208" s="36">
        <f aca="true" t="shared" si="31" ref="L208:M211">L209</f>
        <v>0</v>
      </c>
      <c r="M208" s="36">
        <f t="shared" si="31"/>
        <v>0</v>
      </c>
    </row>
    <row r="209" spans="1:13" s="268" customFormat="1" ht="28.5" hidden="1">
      <c r="A209" s="110" t="s">
        <v>835</v>
      </c>
      <c r="B209" s="266">
        <v>110</v>
      </c>
      <c r="C209" s="95" t="s">
        <v>62</v>
      </c>
      <c r="D209" s="67" t="s">
        <v>147</v>
      </c>
      <c r="E209" s="67" t="s">
        <v>135</v>
      </c>
      <c r="F209" s="67" t="s">
        <v>149</v>
      </c>
      <c r="G209" s="67" t="s">
        <v>150</v>
      </c>
      <c r="H209" s="67"/>
      <c r="I209" s="36">
        <f t="shared" si="30"/>
        <v>0</v>
      </c>
      <c r="J209" s="36">
        <f t="shared" si="30"/>
        <v>0</v>
      </c>
      <c r="K209" s="267">
        <f t="shared" si="29"/>
        <v>0</v>
      </c>
      <c r="L209" s="36">
        <f t="shared" si="31"/>
        <v>0</v>
      </c>
      <c r="M209" s="36">
        <f t="shared" si="31"/>
        <v>0</v>
      </c>
    </row>
    <row r="210" spans="1:13" s="268" customFormat="1" ht="28.5" hidden="1">
      <c r="A210" s="110" t="s">
        <v>836</v>
      </c>
      <c r="B210" s="266">
        <v>110</v>
      </c>
      <c r="C210" s="95" t="s">
        <v>62</v>
      </c>
      <c r="D210" s="67" t="s">
        <v>147</v>
      </c>
      <c r="E210" s="67" t="s">
        <v>135</v>
      </c>
      <c r="F210" s="67" t="s">
        <v>147</v>
      </c>
      <c r="G210" s="67" t="s">
        <v>150</v>
      </c>
      <c r="H210" s="67"/>
      <c r="I210" s="36">
        <f t="shared" si="30"/>
        <v>0</v>
      </c>
      <c r="J210" s="36">
        <f t="shared" si="30"/>
        <v>0</v>
      </c>
      <c r="K210" s="267">
        <f t="shared" si="29"/>
        <v>0</v>
      </c>
      <c r="L210" s="36">
        <f t="shared" si="31"/>
        <v>0</v>
      </c>
      <c r="M210" s="36">
        <f t="shared" si="31"/>
        <v>0</v>
      </c>
    </row>
    <row r="211" spans="1:13" s="268" customFormat="1" ht="30" hidden="1">
      <c r="A211" s="111" t="s">
        <v>521</v>
      </c>
      <c r="B211" s="270">
        <v>110</v>
      </c>
      <c r="C211" s="100" t="s">
        <v>62</v>
      </c>
      <c r="D211" s="99" t="s">
        <v>147</v>
      </c>
      <c r="E211" s="99" t="s">
        <v>135</v>
      </c>
      <c r="F211" s="99" t="s">
        <v>147</v>
      </c>
      <c r="G211" s="99" t="s">
        <v>330</v>
      </c>
      <c r="H211" s="99"/>
      <c r="I211" s="74">
        <f t="shared" si="30"/>
        <v>0</v>
      </c>
      <c r="J211" s="74">
        <f t="shared" si="30"/>
        <v>0</v>
      </c>
      <c r="K211" s="271">
        <f t="shared" si="29"/>
        <v>0</v>
      </c>
      <c r="L211" s="74">
        <f t="shared" si="31"/>
        <v>0</v>
      </c>
      <c r="M211" s="74">
        <f t="shared" si="31"/>
        <v>0</v>
      </c>
    </row>
    <row r="212" spans="1:13" s="269" customFormat="1" ht="30" hidden="1">
      <c r="A212" s="111" t="s">
        <v>683</v>
      </c>
      <c r="B212" s="270">
        <v>110</v>
      </c>
      <c r="C212" s="100" t="s">
        <v>62</v>
      </c>
      <c r="D212" s="99" t="s">
        <v>147</v>
      </c>
      <c r="E212" s="99" t="s">
        <v>135</v>
      </c>
      <c r="F212" s="99" t="s">
        <v>147</v>
      </c>
      <c r="G212" s="99" t="s">
        <v>330</v>
      </c>
      <c r="H212" s="99" t="s">
        <v>682</v>
      </c>
      <c r="I212" s="74"/>
      <c r="J212" s="74"/>
      <c r="K212" s="271"/>
      <c r="L212" s="74"/>
      <c r="M212" s="74"/>
    </row>
    <row r="213" spans="1:13" s="269" customFormat="1" ht="15">
      <c r="A213" s="127" t="s">
        <v>424</v>
      </c>
      <c r="B213" s="266">
        <v>110</v>
      </c>
      <c r="C213" s="95" t="s">
        <v>62</v>
      </c>
      <c r="D213" s="67" t="s">
        <v>425</v>
      </c>
      <c r="E213" s="67" t="s">
        <v>148</v>
      </c>
      <c r="F213" s="67" t="s">
        <v>149</v>
      </c>
      <c r="G213" s="67" t="s">
        <v>150</v>
      </c>
      <c r="H213" s="67"/>
      <c r="I213" s="36">
        <f>I214</f>
        <v>1551.5</v>
      </c>
      <c r="J213" s="36">
        <f>J214</f>
        <v>1551.5</v>
      </c>
      <c r="K213" s="267">
        <f aca="true" t="shared" si="32" ref="K213:K226">J213-I213</f>
        <v>0</v>
      </c>
      <c r="L213" s="36">
        <f>L214</f>
        <v>0</v>
      </c>
      <c r="M213" s="36">
        <f>M214</f>
        <v>8000</v>
      </c>
    </row>
    <row r="214" spans="1:13" s="268" customFormat="1" ht="14.25">
      <c r="A214" s="124" t="s">
        <v>399</v>
      </c>
      <c r="B214" s="266">
        <v>110</v>
      </c>
      <c r="C214" s="95" t="s">
        <v>62</v>
      </c>
      <c r="D214" s="67" t="s">
        <v>425</v>
      </c>
      <c r="E214" s="67" t="s">
        <v>329</v>
      </c>
      <c r="F214" s="67" t="s">
        <v>149</v>
      </c>
      <c r="G214" s="67" t="s">
        <v>150</v>
      </c>
      <c r="H214" s="67"/>
      <c r="I214" s="36">
        <f>I215</f>
        <v>1551.5</v>
      </c>
      <c r="J214" s="36">
        <f>J215</f>
        <v>1551.5</v>
      </c>
      <c r="K214" s="267">
        <f t="shared" si="32"/>
        <v>0</v>
      </c>
      <c r="L214" s="36">
        <f>L215</f>
        <v>0</v>
      </c>
      <c r="M214" s="36">
        <f>M215</f>
        <v>8000</v>
      </c>
    </row>
    <row r="215" spans="1:13" s="268" customFormat="1" ht="14.25">
      <c r="A215" s="125" t="s">
        <v>399</v>
      </c>
      <c r="B215" s="266">
        <v>110</v>
      </c>
      <c r="C215" s="95" t="s">
        <v>62</v>
      </c>
      <c r="D215" s="67" t="s">
        <v>425</v>
      </c>
      <c r="E215" s="67" t="s">
        <v>329</v>
      </c>
      <c r="F215" s="67" t="s">
        <v>147</v>
      </c>
      <c r="G215" s="67" t="s">
        <v>150</v>
      </c>
      <c r="H215" s="67"/>
      <c r="I215" s="36">
        <f>I217+I219+I223+I225+I220</f>
        <v>1551.5</v>
      </c>
      <c r="J215" s="36">
        <f>J217+J219+J223+J225+J220</f>
        <v>1551.5</v>
      </c>
      <c r="K215" s="267">
        <f t="shared" si="32"/>
        <v>0</v>
      </c>
      <c r="L215" s="36">
        <f>L217+L219+L223+L225+L220</f>
        <v>0</v>
      </c>
      <c r="M215" s="36">
        <f>M217+M219+M223+M225+M220</f>
        <v>8000</v>
      </c>
    </row>
    <row r="216" spans="1:13" s="269" customFormat="1" ht="25.5" customHeight="1" hidden="1">
      <c r="A216" s="111" t="s">
        <v>313</v>
      </c>
      <c r="B216" s="270">
        <v>110</v>
      </c>
      <c r="C216" s="100" t="s">
        <v>62</v>
      </c>
      <c r="D216" s="99" t="s">
        <v>425</v>
      </c>
      <c r="E216" s="99" t="s">
        <v>329</v>
      </c>
      <c r="F216" s="99" t="s">
        <v>147</v>
      </c>
      <c r="G216" s="99" t="s">
        <v>314</v>
      </c>
      <c r="H216" s="99"/>
      <c r="I216" s="74">
        <f>I217</f>
        <v>0</v>
      </c>
      <c r="J216" s="74">
        <f>J217</f>
        <v>0</v>
      </c>
      <c r="K216" s="271">
        <f t="shared" si="32"/>
        <v>0</v>
      </c>
      <c r="L216" s="74">
        <f>L217</f>
        <v>0</v>
      </c>
      <c r="M216" s="74">
        <f>M217</f>
        <v>0</v>
      </c>
    </row>
    <row r="217" spans="1:13" s="269" customFormat="1" ht="26.25" customHeight="1" hidden="1">
      <c r="A217" s="115" t="s">
        <v>684</v>
      </c>
      <c r="B217" s="270">
        <v>110</v>
      </c>
      <c r="C217" s="100" t="s">
        <v>62</v>
      </c>
      <c r="D217" s="99" t="s">
        <v>425</v>
      </c>
      <c r="E217" s="99" t="s">
        <v>329</v>
      </c>
      <c r="F217" s="99" t="s">
        <v>147</v>
      </c>
      <c r="G217" s="99" t="s">
        <v>314</v>
      </c>
      <c r="H217" s="99" t="s">
        <v>685</v>
      </c>
      <c r="I217" s="273"/>
      <c r="J217" s="273"/>
      <c r="K217" s="271">
        <f t="shared" si="32"/>
        <v>0</v>
      </c>
      <c r="L217" s="74"/>
      <c r="M217" s="74"/>
    </row>
    <row r="218" spans="1:13" s="268" customFormat="1" ht="30.75" customHeight="1" hidden="1">
      <c r="A218" s="111" t="s">
        <v>427</v>
      </c>
      <c r="B218" s="270">
        <v>110</v>
      </c>
      <c r="C218" s="100" t="s">
        <v>62</v>
      </c>
      <c r="D218" s="99" t="s">
        <v>425</v>
      </c>
      <c r="E218" s="99" t="s">
        <v>329</v>
      </c>
      <c r="F218" s="99" t="s">
        <v>147</v>
      </c>
      <c r="G218" s="99" t="s">
        <v>428</v>
      </c>
      <c r="H218" s="99"/>
      <c r="I218" s="74">
        <f>I219</f>
        <v>0</v>
      </c>
      <c r="J218" s="74">
        <f>J219</f>
        <v>0</v>
      </c>
      <c r="K218" s="271">
        <f t="shared" si="32"/>
        <v>0</v>
      </c>
      <c r="L218" s="74">
        <f>L219</f>
        <v>0</v>
      </c>
      <c r="M218" s="74">
        <f>M219</f>
        <v>0</v>
      </c>
    </row>
    <row r="219" spans="1:13" s="269" customFormat="1" ht="33.75" customHeight="1" hidden="1">
      <c r="A219" s="115" t="s">
        <v>684</v>
      </c>
      <c r="B219" s="270">
        <v>110</v>
      </c>
      <c r="C219" s="100" t="s">
        <v>62</v>
      </c>
      <c r="D219" s="99" t="s">
        <v>425</v>
      </c>
      <c r="E219" s="99" t="s">
        <v>329</v>
      </c>
      <c r="F219" s="99" t="s">
        <v>147</v>
      </c>
      <c r="G219" s="99" t="s">
        <v>428</v>
      </c>
      <c r="H219" s="99" t="s">
        <v>685</v>
      </c>
      <c r="I219" s="74"/>
      <c r="J219" s="74"/>
      <c r="K219" s="271">
        <f t="shared" si="32"/>
        <v>0</v>
      </c>
      <c r="L219" s="74"/>
      <c r="M219" s="74"/>
    </row>
    <row r="220" spans="1:13" s="269" customFormat="1" ht="62.25" customHeight="1">
      <c r="A220" s="115" t="s">
        <v>1123</v>
      </c>
      <c r="B220" s="270">
        <v>110</v>
      </c>
      <c r="C220" s="100" t="s">
        <v>62</v>
      </c>
      <c r="D220" s="99" t="s">
        <v>425</v>
      </c>
      <c r="E220" s="99" t="s">
        <v>329</v>
      </c>
      <c r="F220" s="99" t="s">
        <v>147</v>
      </c>
      <c r="G220" s="99" t="s">
        <v>1122</v>
      </c>
      <c r="H220" s="99"/>
      <c r="I220" s="74">
        <f>I221</f>
        <v>1551.5</v>
      </c>
      <c r="J220" s="74">
        <f>J221</f>
        <v>1551.5</v>
      </c>
      <c r="K220" s="271">
        <f t="shared" si="32"/>
        <v>0</v>
      </c>
      <c r="L220" s="74">
        <f>L221</f>
        <v>0</v>
      </c>
      <c r="M220" s="74">
        <f>M221</f>
        <v>0</v>
      </c>
    </row>
    <row r="221" spans="1:13" s="269" customFormat="1" ht="19.5" customHeight="1">
      <c r="A221" s="115" t="s">
        <v>684</v>
      </c>
      <c r="B221" s="270">
        <v>110</v>
      </c>
      <c r="C221" s="100" t="s">
        <v>62</v>
      </c>
      <c r="D221" s="99" t="s">
        <v>425</v>
      </c>
      <c r="E221" s="99" t="s">
        <v>329</v>
      </c>
      <c r="F221" s="99" t="s">
        <v>147</v>
      </c>
      <c r="G221" s="99" t="s">
        <v>1122</v>
      </c>
      <c r="H221" s="99" t="s">
        <v>685</v>
      </c>
      <c r="I221" s="74">
        <v>1551.5</v>
      </c>
      <c r="J221" s="74">
        <v>1551.5</v>
      </c>
      <c r="K221" s="271">
        <f t="shared" si="32"/>
        <v>0</v>
      </c>
      <c r="L221" s="74"/>
      <c r="M221" s="74"/>
    </row>
    <row r="222" spans="1:13" s="269" customFormat="1" ht="41.25" customHeight="1" hidden="1">
      <c r="A222" s="111" t="s">
        <v>452</v>
      </c>
      <c r="B222" s="270">
        <v>110</v>
      </c>
      <c r="C222" s="100" t="s">
        <v>62</v>
      </c>
      <c r="D222" s="99" t="s">
        <v>425</v>
      </c>
      <c r="E222" s="99" t="s">
        <v>329</v>
      </c>
      <c r="F222" s="99" t="s">
        <v>147</v>
      </c>
      <c r="G222" s="99" t="s">
        <v>453</v>
      </c>
      <c r="H222" s="99"/>
      <c r="I222" s="74">
        <f>I223</f>
        <v>0</v>
      </c>
      <c r="J222" s="74">
        <f>J223</f>
        <v>0</v>
      </c>
      <c r="K222" s="271">
        <f t="shared" si="32"/>
        <v>0</v>
      </c>
      <c r="L222" s="74">
        <f>L223</f>
        <v>0</v>
      </c>
      <c r="M222" s="74">
        <f>M223</f>
        <v>0</v>
      </c>
    </row>
    <row r="223" spans="1:13" s="269" customFormat="1" ht="39.75" customHeight="1" hidden="1">
      <c r="A223" s="111" t="s">
        <v>683</v>
      </c>
      <c r="B223" s="270">
        <v>110</v>
      </c>
      <c r="C223" s="100" t="s">
        <v>62</v>
      </c>
      <c r="D223" s="99" t="s">
        <v>425</v>
      </c>
      <c r="E223" s="99" t="s">
        <v>329</v>
      </c>
      <c r="F223" s="99" t="s">
        <v>147</v>
      </c>
      <c r="G223" s="99" t="s">
        <v>453</v>
      </c>
      <c r="H223" s="99" t="s">
        <v>682</v>
      </c>
      <c r="I223" s="74"/>
      <c r="J223" s="74"/>
      <c r="K223" s="271">
        <f t="shared" si="32"/>
        <v>0</v>
      </c>
      <c r="L223" s="74"/>
      <c r="M223" s="74"/>
    </row>
    <row r="224" spans="1:13" s="269" customFormat="1" ht="30">
      <c r="A224" s="111" t="s">
        <v>741</v>
      </c>
      <c r="B224" s="270">
        <v>110</v>
      </c>
      <c r="C224" s="100" t="s">
        <v>62</v>
      </c>
      <c r="D224" s="99" t="s">
        <v>425</v>
      </c>
      <c r="E224" s="99" t="s">
        <v>329</v>
      </c>
      <c r="F224" s="99" t="s">
        <v>147</v>
      </c>
      <c r="G224" s="99" t="s">
        <v>709</v>
      </c>
      <c r="H224" s="99"/>
      <c r="I224" s="74">
        <f>I225</f>
        <v>0</v>
      </c>
      <c r="J224" s="74">
        <f>J225</f>
        <v>0</v>
      </c>
      <c r="K224" s="271">
        <f t="shared" si="32"/>
        <v>0</v>
      </c>
      <c r="L224" s="74">
        <f>L225</f>
        <v>0</v>
      </c>
      <c r="M224" s="74">
        <f>M225</f>
        <v>8000</v>
      </c>
    </row>
    <row r="225" spans="1:13" s="269" customFormat="1" ht="30">
      <c r="A225" s="111" t="s">
        <v>683</v>
      </c>
      <c r="B225" s="270">
        <v>110</v>
      </c>
      <c r="C225" s="100" t="s">
        <v>62</v>
      </c>
      <c r="D225" s="99" t="s">
        <v>425</v>
      </c>
      <c r="E225" s="99" t="s">
        <v>329</v>
      </c>
      <c r="F225" s="99" t="s">
        <v>147</v>
      </c>
      <c r="G225" s="99" t="s">
        <v>709</v>
      </c>
      <c r="H225" s="99" t="s">
        <v>682</v>
      </c>
      <c r="I225" s="74">
        <f>7280-7280</f>
        <v>0</v>
      </c>
      <c r="J225" s="74">
        <f>7280-7280</f>
        <v>0</v>
      </c>
      <c r="K225" s="271">
        <f t="shared" si="32"/>
        <v>0</v>
      </c>
      <c r="L225" s="74"/>
      <c r="M225" s="74">
        <f>4874-4874+8000</f>
        <v>8000</v>
      </c>
    </row>
    <row r="226" spans="1:13" s="268" customFormat="1" ht="14.25">
      <c r="A226" s="125" t="s">
        <v>63</v>
      </c>
      <c r="B226" s="266">
        <v>110</v>
      </c>
      <c r="C226" s="95" t="s">
        <v>64</v>
      </c>
      <c r="D226" s="67"/>
      <c r="E226" s="67"/>
      <c r="F226" s="67"/>
      <c r="G226" s="67"/>
      <c r="H226" s="67"/>
      <c r="I226" s="36">
        <f>I227+I236</f>
        <v>24379.1</v>
      </c>
      <c r="J226" s="36">
        <f>J227+J236</f>
        <v>24379.1</v>
      </c>
      <c r="K226" s="267">
        <f t="shared" si="32"/>
        <v>0</v>
      </c>
      <c r="L226" s="36">
        <f>L227+L236</f>
        <v>13022.2</v>
      </c>
      <c r="M226" s="36">
        <f>M227+M236</f>
        <v>15022.2</v>
      </c>
    </row>
    <row r="227" spans="1:13" s="268" customFormat="1" ht="71.25">
      <c r="A227" s="125" t="s">
        <v>834</v>
      </c>
      <c r="B227" s="266">
        <v>110</v>
      </c>
      <c r="C227" s="95" t="s">
        <v>64</v>
      </c>
      <c r="D227" s="67" t="s">
        <v>147</v>
      </c>
      <c r="E227" s="67" t="s">
        <v>148</v>
      </c>
      <c r="F227" s="67" t="s">
        <v>149</v>
      </c>
      <c r="G227" s="67" t="s">
        <v>150</v>
      </c>
      <c r="H227" s="67"/>
      <c r="I227" s="36">
        <f>I228</f>
        <v>4850</v>
      </c>
      <c r="J227" s="36">
        <f>J228</f>
        <v>4850</v>
      </c>
      <c r="K227" s="267">
        <f aca="true" t="shared" si="33" ref="K227:K234">J227-I227</f>
        <v>0</v>
      </c>
      <c r="L227" s="36">
        <f aca="true" t="shared" si="34" ref="L227:M230">L228</f>
        <v>6872.2</v>
      </c>
      <c r="M227" s="36">
        <f t="shared" si="34"/>
        <v>4022.2</v>
      </c>
    </row>
    <row r="228" spans="1:13" s="269" customFormat="1" ht="28.5">
      <c r="A228" s="110" t="s">
        <v>835</v>
      </c>
      <c r="B228" s="266">
        <v>110</v>
      </c>
      <c r="C228" s="95" t="s">
        <v>64</v>
      </c>
      <c r="D228" s="67" t="s">
        <v>147</v>
      </c>
      <c r="E228" s="67" t="s">
        <v>135</v>
      </c>
      <c r="F228" s="67" t="s">
        <v>149</v>
      </c>
      <c r="G228" s="67" t="s">
        <v>150</v>
      </c>
      <c r="H228" s="99"/>
      <c r="I228" s="36">
        <f>I229</f>
        <v>4850</v>
      </c>
      <c r="J228" s="36">
        <f>J229</f>
        <v>4850</v>
      </c>
      <c r="K228" s="267">
        <f t="shared" si="33"/>
        <v>0</v>
      </c>
      <c r="L228" s="36">
        <f t="shared" si="34"/>
        <v>6872.2</v>
      </c>
      <c r="M228" s="36">
        <f t="shared" si="34"/>
        <v>4022.2</v>
      </c>
    </row>
    <row r="229" spans="1:13" s="269" customFormat="1" ht="28.5">
      <c r="A229" s="110" t="s">
        <v>836</v>
      </c>
      <c r="B229" s="266">
        <v>110</v>
      </c>
      <c r="C229" s="95" t="s">
        <v>64</v>
      </c>
      <c r="D229" s="67" t="s">
        <v>147</v>
      </c>
      <c r="E229" s="67" t="s">
        <v>135</v>
      </c>
      <c r="F229" s="67" t="s">
        <v>160</v>
      </c>
      <c r="G229" s="67" t="s">
        <v>150</v>
      </c>
      <c r="H229" s="99"/>
      <c r="I229" s="36">
        <f>I230+I234+I232</f>
        <v>4850</v>
      </c>
      <c r="J229" s="36">
        <f>J230+J234+J232</f>
        <v>4850</v>
      </c>
      <c r="K229" s="267">
        <f t="shared" si="33"/>
        <v>0</v>
      </c>
      <c r="L229" s="36">
        <f>L230+L234+L232</f>
        <v>6872.2</v>
      </c>
      <c r="M229" s="36">
        <f>M230+M234+M232</f>
        <v>4022.2</v>
      </c>
    </row>
    <row r="230" spans="1:13" s="269" customFormat="1" ht="30">
      <c r="A230" s="22" t="s">
        <v>837</v>
      </c>
      <c r="B230" s="270">
        <v>110</v>
      </c>
      <c r="C230" s="100" t="s">
        <v>64</v>
      </c>
      <c r="D230" s="99" t="s">
        <v>147</v>
      </c>
      <c r="E230" s="99" t="s">
        <v>135</v>
      </c>
      <c r="F230" s="99" t="s">
        <v>160</v>
      </c>
      <c r="G230" s="99" t="s">
        <v>838</v>
      </c>
      <c r="H230" s="99"/>
      <c r="I230" s="74">
        <f>I231</f>
        <v>4000</v>
      </c>
      <c r="J230" s="74">
        <f>J231</f>
        <v>4000</v>
      </c>
      <c r="K230" s="271">
        <f t="shared" si="33"/>
        <v>0</v>
      </c>
      <c r="L230" s="74">
        <f t="shared" si="34"/>
        <v>4000</v>
      </c>
      <c r="M230" s="74">
        <f t="shared" si="34"/>
        <v>4000</v>
      </c>
    </row>
    <row r="231" spans="1:13" s="269" customFormat="1" ht="30">
      <c r="A231" s="111" t="s">
        <v>683</v>
      </c>
      <c r="B231" s="270">
        <v>110</v>
      </c>
      <c r="C231" s="100" t="s">
        <v>64</v>
      </c>
      <c r="D231" s="99" t="s">
        <v>147</v>
      </c>
      <c r="E231" s="99" t="s">
        <v>135</v>
      </c>
      <c r="F231" s="99" t="s">
        <v>160</v>
      </c>
      <c r="G231" s="99" t="s">
        <v>838</v>
      </c>
      <c r="H231" s="99" t="s">
        <v>682</v>
      </c>
      <c r="I231" s="74">
        <f>14500-10500</f>
        <v>4000</v>
      </c>
      <c r="J231" s="74">
        <f>14500-10500</f>
        <v>4000</v>
      </c>
      <c r="K231" s="271">
        <f t="shared" si="33"/>
        <v>0</v>
      </c>
      <c r="L231" s="74">
        <f>13000-9000</f>
        <v>4000</v>
      </c>
      <c r="M231" s="74">
        <f>15000-11000</f>
        <v>4000</v>
      </c>
    </row>
    <row r="232" spans="1:13" s="269" customFormat="1" ht="33" customHeight="1">
      <c r="A232" s="111" t="s">
        <v>1109</v>
      </c>
      <c r="B232" s="270">
        <v>110</v>
      </c>
      <c r="C232" s="100" t="s">
        <v>64</v>
      </c>
      <c r="D232" s="99" t="s">
        <v>147</v>
      </c>
      <c r="E232" s="99" t="s">
        <v>135</v>
      </c>
      <c r="F232" s="99" t="s">
        <v>160</v>
      </c>
      <c r="G232" s="99" t="s">
        <v>1032</v>
      </c>
      <c r="H232" s="99"/>
      <c r="I232" s="74">
        <f>I233</f>
        <v>850</v>
      </c>
      <c r="J232" s="74">
        <f>J233</f>
        <v>850</v>
      </c>
      <c r="K232" s="271">
        <f t="shared" si="33"/>
        <v>0</v>
      </c>
      <c r="L232" s="74">
        <f>L233</f>
        <v>2850</v>
      </c>
      <c r="M232" s="74">
        <f>M233</f>
        <v>0</v>
      </c>
    </row>
    <row r="233" spans="1:13" s="269" customFormat="1" ht="32.25" customHeight="1">
      <c r="A233" s="111" t="s">
        <v>683</v>
      </c>
      <c r="B233" s="270">
        <v>110</v>
      </c>
      <c r="C233" s="100" t="s">
        <v>64</v>
      </c>
      <c r="D233" s="99" t="s">
        <v>147</v>
      </c>
      <c r="E233" s="99" t="s">
        <v>135</v>
      </c>
      <c r="F233" s="99" t="s">
        <v>160</v>
      </c>
      <c r="G233" s="99" t="s">
        <v>1032</v>
      </c>
      <c r="H233" s="99" t="s">
        <v>682</v>
      </c>
      <c r="I233" s="74">
        <f>1850-1297+1297-1000</f>
        <v>850</v>
      </c>
      <c r="J233" s="74">
        <f>1850-1297+1297-1000</f>
        <v>850</v>
      </c>
      <c r="K233" s="271">
        <f t="shared" si="33"/>
        <v>0</v>
      </c>
      <c r="L233" s="74">
        <f>1850+1297-1297+1000</f>
        <v>2850</v>
      </c>
      <c r="M233" s="74"/>
    </row>
    <row r="234" spans="1:13" s="269" customFormat="1" ht="21" customHeight="1">
      <c r="A234" s="111" t="s">
        <v>969</v>
      </c>
      <c r="B234" s="270">
        <v>110</v>
      </c>
      <c r="C234" s="100" t="s">
        <v>64</v>
      </c>
      <c r="D234" s="99" t="s">
        <v>147</v>
      </c>
      <c r="E234" s="99" t="s">
        <v>135</v>
      </c>
      <c r="F234" s="99" t="s">
        <v>160</v>
      </c>
      <c r="G234" s="99" t="s">
        <v>627</v>
      </c>
      <c r="H234" s="99"/>
      <c r="I234" s="74"/>
      <c r="J234" s="74">
        <f>J235</f>
        <v>0</v>
      </c>
      <c r="K234" s="271">
        <f t="shared" si="33"/>
        <v>0</v>
      </c>
      <c r="L234" s="74">
        <f>L235</f>
        <v>22.2</v>
      </c>
      <c r="M234" s="74">
        <f>M235</f>
        <v>22.2</v>
      </c>
    </row>
    <row r="235" spans="1:13" s="269" customFormat="1" ht="30.75" customHeight="1">
      <c r="A235" s="111" t="s">
        <v>683</v>
      </c>
      <c r="B235" s="270">
        <v>110</v>
      </c>
      <c r="C235" s="100" t="s">
        <v>64</v>
      </c>
      <c r="D235" s="99" t="s">
        <v>147</v>
      </c>
      <c r="E235" s="99" t="s">
        <v>135</v>
      </c>
      <c r="F235" s="99" t="s">
        <v>160</v>
      </c>
      <c r="G235" s="99" t="s">
        <v>627</v>
      </c>
      <c r="H235" s="99" t="s">
        <v>682</v>
      </c>
      <c r="I235" s="74"/>
      <c r="J235" s="74"/>
      <c r="K235" s="271"/>
      <c r="L235" s="74">
        <v>22.2</v>
      </c>
      <c r="M235" s="74">
        <v>22.2</v>
      </c>
    </row>
    <row r="236" spans="1:13" ht="44.25" customHeight="1">
      <c r="A236" s="127" t="s">
        <v>287</v>
      </c>
      <c r="B236" s="279">
        <v>110</v>
      </c>
      <c r="C236" s="95" t="s">
        <v>64</v>
      </c>
      <c r="D236" s="95" t="s">
        <v>288</v>
      </c>
      <c r="E236" s="95" t="s">
        <v>148</v>
      </c>
      <c r="F236" s="67" t="s">
        <v>149</v>
      </c>
      <c r="G236" s="95" t="s">
        <v>150</v>
      </c>
      <c r="H236" s="137"/>
      <c r="I236" s="84">
        <f>I237</f>
        <v>19529.1</v>
      </c>
      <c r="J236" s="84">
        <f>J237</f>
        <v>19529.1</v>
      </c>
      <c r="K236" s="267">
        <f aca="true" t="shared" si="35" ref="K236:K242">J236-I236</f>
        <v>0</v>
      </c>
      <c r="L236" s="84">
        <f>L237</f>
        <v>6150</v>
      </c>
      <c r="M236" s="84">
        <f>M237</f>
        <v>11000</v>
      </c>
    </row>
    <row r="237" spans="1:13" ht="29.25" customHeight="1">
      <c r="A237" s="124" t="s">
        <v>790</v>
      </c>
      <c r="B237" s="279">
        <v>110</v>
      </c>
      <c r="C237" s="95" t="s">
        <v>64</v>
      </c>
      <c r="D237" s="95" t="s">
        <v>288</v>
      </c>
      <c r="E237" s="95" t="s">
        <v>134</v>
      </c>
      <c r="F237" s="67" t="s">
        <v>149</v>
      </c>
      <c r="G237" s="95" t="s">
        <v>150</v>
      </c>
      <c r="H237" s="137"/>
      <c r="I237" s="84">
        <f>I238</f>
        <v>19529.1</v>
      </c>
      <c r="J237" s="84">
        <f>J238</f>
        <v>19529.1</v>
      </c>
      <c r="K237" s="267">
        <f t="shared" si="35"/>
        <v>0</v>
      </c>
      <c r="L237" s="84">
        <f>L238</f>
        <v>6150</v>
      </c>
      <c r="M237" s="84">
        <f>M238</f>
        <v>11000</v>
      </c>
    </row>
    <row r="238" spans="1:13" s="276" customFormat="1" ht="47.25" customHeight="1">
      <c r="A238" s="124" t="s">
        <v>791</v>
      </c>
      <c r="B238" s="279">
        <v>110</v>
      </c>
      <c r="C238" s="95" t="s">
        <v>64</v>
      </c>
      <c r="D238" s="95" t="s">
        <v>288</v>
      </c>
      <c r="E238" s="95" t="s">
        <v>134</v>
      </c>
      <c r="F238" s="67" t="s">
        <v>147</v>
      </c>
      <c r="G238" s="95" t="s">
        <v>150</v>
      </c>
      <c r="H238" s="137"/>
      <c r="I238" s="84">
        <f>I239+I241+I243</f>
        <v>19529.1</v>
      </c>
      <c r="J238" s="84">
        <f>J239+J241+J243</f>
        <v>19529.1</v>
      </c>
      <c r="K238" s="267">
        <f t="shared" si="35"/>
        <v>0</v>
      </c>
      <c r="L238" s="84">
        <f>L239+L241+L243</f>
        <v>6150</v>
      </c>
      <c r="M238" s="84">
        <f>M239+M241+M243</f>
        <v>11000</v>
      </c>
    </row>
    <row r="239" spans="1:13" ht="108.75" customHeight="1">
      <c r="A239" s="111" t="s">
        <v>503</v>
      </c>
      <c r="B239" s="274">
        <v>110</v>
      </c>
      <c r="C239" s="100" t="s">
        <v>64</v>
      </c>
      <c r="D239" s="100" t="s">
        <v>288</v>
      </c>
      <c r="E239" s="100" t="s">
        <v>134</v>
      </c>
      <c r="F239" s="99" t="s">
        <v>147</v>
      </c>
      <c r="G239" s="100" t="s">
        <v>502</v>
      </c>
      <c r="H239" s="131"/>
      <c r="I239" s="275">
        <f>I240</f>
        <v>3700</v>
      </c>
      <c r="J239" s="275">
        <f>J240</f>
        <v>3700</v>
      </c>
      <c r="K239" s="271">
        <f t="shared" si="35"/>
        <v>0</v>
      </c>
      <c r="L239" s="275">
        <f>L240</f>
        <v>0</v>
      </c>
      <c r="M239" s="275">
        <f>M240</f>
        <v>0</v>
      </c>
    </row>
    <row r="240" spans="1:13" ht="32.25" customHeight="1">
      <c r="A240" s="109" t="s">
        <v>694</v>
      </c>
      <c r="B240" s="274">
        <v>110</v>
      </c>
      <c r="C240" s="100" t="s">
        <v>64</v>
      </c>
      <c r="D240" s="100" t="s">
        <v>288</v>
      </c>
      <c r="E240" s="100" t="s">
        <v>134</v>
      </c>
      <c r="F240" s="99" t="s">
        <v>147</v>
      </c>
      <c r="G240" s="100" t="s">
        <v>502</v>
      </c>
      <c r="H240" s="131">
        <v>400</v>
      </c>
      <c r="I240" s="275">
        <f>3000-1800+2500</f>
        <v>3700</v>
      </c>
      <c r="J240" s="275">
        <f>3000-1800+2500</f>
        <v>3700</v>
      </c>
      <c r="K240" s="271">
        <f t="shared" si="35"/>
        <v>0</v>
      </c>
      <c r="L240" s="74"/>
      <c r="M240" s="74"/>
    </row>
    <row r="241" spans="1:13" ht="30">
      <c r="A241" s="109" t="s">
        <v>991</v>
      </c>
      <c r="B241" s="274">
        <v>110</v>
      </c>
      <c r="C241" s="100" t="s">
        <v>64</v>
      </c>
      <c r="D241" s="100" t="s">
        <v>288</v>
      </c>
      <c r="E241" s="100" t="s">
        <v>134</v>
      </c>
      <c r="F241" s="99" t="s">
        <v>147</v>
      </c>
      <c r="G241" s="100" t="s">
        <v>989</v>
      </c>
      <c r="H241" s="131"/>
      <c r="I241" s="275">
        <f>I242</f>
        <v>12039.099999999999</v>
      </c>
      <c r="J241" s="275">
        <f>J242</f>
        <v>12039.099999999999</v>
      </c>
      <c r="K241" s="271">
        <f t="shared" si="35"/>
        <v>0</v>
      </c>
      <c r="L241" s="275">
        <f>L242</f>
        <v>6150</v>
      </c>
      <c r="M241" s="275">
        <f>M242</f>
        <v>11000</v>
      </c>
    </row>
    <row r="242" spans="1:13" ht="30">
      <c r="A242" s="111" t="s">
        <v>683</v>
      </c>
      <c r="B242" s="274">
        <v>110</v>
      </c>
      <c r="C242" s="100" t="s">
        <v>64</v>
      </c>
      <c r="D242" s="100" t="s">
        <v>288</v>
      </c>
      <c r="E242" s="100" t="s">
        <v>134</v>
      </c>
      <c r="F242" s="99" t="s">
        <v>147</v>
      </c>
      <c r="G242" s="100" t="s">
        <v>989</v>
      </c>
      <c r="H242" s="131">
        <v>200</v>
      </c>
      <c r="I242" s="275">
        <f>10500+448.3+590.8+500+5431-5431+4196-4196</f>
        <v>12039.099999999999</v>
      </c>
      <c r="J242" s="275">
        <f>10500+448.3+590.8+500+5431-5431+4196-4196</f>
        <v>12039.099999999999</v>
      </c>
      <c r="K242" s="271">
        <f t="shared" si="35"/>
        <v>0</v>
      </c>
      <c r="L242" s="74">
        <f>9000-1297+1297-2850</f>
        <v>6150</v>
      </c>
      <c r="M242" s="74">
        <v>11000</v>
      </c>
    </row>
    <row r="243" spans="1:13" ht="30">
      <c r="A243" s="109" t="s">
        <v>992</v>
      </c>
      <c r="B243" s="274">
        <v>110</v>
      </c>
      <c r="C243" s="100" t="s">
        <v>64</v>
      </c>
      <c r="D243" s="100" t="s">
        <v>288</v>
      </c>
      <c r="E243" s="100" t="s">
        <v>134</v>
      </c>
      <c r="F243" s="99" t="s">
        <v>147</v>
      </c>
      <c r="G243" s="100" t="s">
        <v>990</v>
      </c>
      <c r="H243" s="131"/>
      <c r="I243" s="275">
        <f>I244</f>
        <v>3790</v>
      </c>
      <c r="J243" s="275">
        <f>J244</f>
        <v>3790</v>
      </c>
      <c r="K243" s="271">
        <f aca="true" t="shared" si="36" ref="K243:K250">J243-I243</f>
        <v>0</v>
      </c>
      <c r="L243" s="275">
        <f>L244</f>
        <v>0</v>
      </c>
      <c r="M243" s="275">
        <f>M244</f>
        <v>0</v>
      </c>
    </row>
    <row r="244" spans="1:13" ht="30">
      <c r="A244" s="111" t="s">
        <v>683</v>
      </c>
      <c r="B244" s="274">
        <v>110</v>
      </c>
      <c r="C244" s="100" t="s">
        <v>64</v>
      </c>
      <c r="D244" s="100" t="s">
        <v>288</v>
      </c>
      <c r="E244" s="100" t="s">
        <v>134</v>
      </c>
      <c r="F244" s="99" t="s">
        <v>147</v>
      </c>
      <c r="G244" s="100" t="s">
        <v>990</v>
      </c>
      <c r="H244" s="131">
        <v>200</v>
      </c>
      <c r="I244" s="275">
        <v>3790</v>
      </c>
      <c r="J244" s="275">
        <f>3790+10000+1847.4+5000-16847.4</f>
        <v>3790</v>
      </c>
      <c r="K244" s="271">
        <f t="shared" si="36"/>
        <v>0</v>
      </c>
      <c r="L244" s="74">
        <f>7890.8+4702.6-7890.8-4702.6</f>
        <v>0</v>
      </c>
      <c r="M244" s="74"/>
    </row>
    <row r="245" spans="1:13" s="269" customFormat="1" ht="15">
      <c r="A245" s="127" t="s">
        <v>67</v>
      </c>
      <c r="B245" s="266" t="s">
        <v>23</v>
      </c>
      <c r="C245" s="95" t="s">
        <v>68</v>
      </c>
      <c r="D245" s="67"/>
      <c r="E245" s="67"/>
      <c r="F245" s="67"/>
      <c r="G245" s="67"/>
      <c r="H245" s="67"/>
      <c r="I245" s="36">
        <f>I246+I251+I264+I284</f>
        <v>24034.6</v>
      </c>
      <c r="J245" s="36">
        <f>J246+J251+J264+J284</f>
        <v>24034.6</v>
      </c>
      <c r="K245" s="267">
        <f t="shared" si="36"/>
        <v>0</v>
      </c>
      <c r="L245" s="36">
        <f>L246+L251+L264+L284</f>
        <v>21906.100000000002</v>
      </c>
      <c r="M245" s="36">
        <f>M246+M251+M264+M284</f>
        <v>3827.6000000000004</v>
      </c>
    </row>
    <row r="246" spans="1:13" s="269" customFormat="1" ht="42.75">
      <c r="A246" s="127" t="s">
        <v>287</v>
      </c>
      <c r="B246" s="266" t="s">
        <v>23</v>
      </c>
      <c r="C246" s="95" t="s">
        <v>68</v>
      </c>
      <c r="D246" s="67" t="s">
        <v>288</v>
      </c>
      <c r="E246" s="67" t="s">
        <v>148</v>
      </c>
      <c r="F246" s="67" t="s">
        <v>149</v>
      </c>
      <c r="G246" s="67" t="s">
        <v>150</v>
      </c>
      <c r="H246" s="67"/>
      <c r="I246" s="36">
        <f aca="true" t="shared" si="37" ref="I246:M249">I247</f>
        <v>424</v>
      </c>
      <c r="J246" s="36">
        <f t="shared" si="37"/>
        <v>424</v>
      </c>
      <c r="K246" s="267">
        <f t="shared" si="36"/>
        <v>0</v>
      </c>
      <c r="L246" s="36">
        <f t="shared" si="37"/>
        <v>440</v>
      </c>
      <c r="M246" s="36">
        <f t="shared" si="37"/>
        <v>440</v>
      </c>
    </row>
    <row r="247" spans="1:13" s="268" customFormat="1" ht="28.5">
      <c r="A247" s="124" t="s">
        <v>296</v>
      </c>
      <c r="B247" s="266" t="s">
        <v>23</v>
      </c>
      <c r="C247" s="95" t="s">
        <v>68</v>
      </c>
      <c r="D247" s="67" t="s">
        <v>288</v>
      </c>
      <c r="E247" s="67" t="s">
        <v>132</v>
      </c>
      <c r="F247" s="67" t="s">
        <v>149</v>
      </c>
      <c r="G247" s="67" t="s">
        <v>150</v>
      </c>
      <c r="H247" s="67"/>
      <c r="I247" s="36">
        <f t="shared" si="37"/>
        <v>424</v>
      </c>
      <c r="J247" s="36">
        <f t="shared" si="37"/>
        <v>424</v>
      </c>
      <c r="K247" s="267">
        <f t="shared" si="36"/>
        <v>0</v>
      </c>
      <c r="L247" s="36">
        <f t="shared" si="37"/>
        <v>440</v>
      </c>
      <c r="M247" s="36">
        <f t="shared" si="37"/>
        <v>440</v>
      </c>
    </row>
    <row r="248" spans="1:13" s="268" customFormat="1" ht="28.5">
      <c r="A248" s="124" t="s">
        <v>827</v>
      </c>
      <c r="B248" s="266" t="s">
        <v>23</v>
      </c>
      <c r="C248" s="95" t="s">
        <v>68</v>
      </c>
      <c r="D248" s="67" t="s">
        <v>288</v>
      </c>
      <c r="E248" s="67" t="s">
        <v>132</v>
      </c>
      <c r="F248" s="67" t="s">
        <v>147</v>
      </c>
      <c r="G248" s="67" t="s">
        <v>150</v>
      </c>
      <c r="H248" s="67"/>
      <c r="I248" s="36">
        <f t="shared" si="37"/>
        <v>424</v>
      </c>
      <c r="J248" s="36">
        <f t="shared" si="37"/>
        <v>424</v>
      </c>
      <c r="K248" s="267">
        <f t="shared" si="36"/>
        <v>0</v>
      </c>
      <c r="L248" s="36">
        <f t="shared" si="37"/>
        <v>440</v>
      </c>
      <c r="M248" s="36">
        <f t="shared" si="37"/>
        <v>440</v>
      </c>
    </row>
    <row r="249" spans="1:13" s="268" customFormat="1" ht="30">
      <c r="A249" s="115" t="s">
        <v>468</v>
      </c>
      <c r="B249" s="270" t="s">
        <v>23</v>
      </c>
      <c r="C249" s="100" t="s">
        <v>68</v>
      </c>
      <c r="D249" s="99" t="s">
        <v>288</v>
      </c>
      <c r="E249" s="99" t="s">
        <v>132</v>
      </c>
      <c r="F249" s="99" t="s">
        <v>147</v>
      </c>
      <c r="G249" s="99" t="s">
        <v>299</v>
      </c>
      <c r="H249" s="99"/>
      <c r="I249" s="74">
        <f t="shared" si="37"/>
        <v>424</v>
      </c>
      <c r="J249" s="74">
        <f t="shared" si="37"/>
        <v>424</v>
      </c>
      <c r="K249" s="271">
        <f t="shared" si="36"/>
        <v>0</v>
      </c>
      <c r="L249" s="74">
        <f t="shared" si="37"/>
        <v>440</v>
      </c>
      <c r="M249" s="74">
        <f t="shared" si="37"/>
        <v>440</v>
      </c>
    </row>
    <row r="250" spans="1:13" s="269" customFormat="1" ht="30">
      <c r="A250" s="115" t="s">
        <v>688</v>
      </c>
      <c r="B250" s="270" t="s">
        <v>23</v>
      </c>
      <c r="C250" s="100" t="s">
        <v>68</v>
      </c>
      <c r="D250" s="99" t="s">
        <v>288</v>
      </c>
      <c r="E250" s="99" t="s">
        <v>132</v>
      </c>
      <c r="F250" s="99" t="s">
        <v>147</v>
      </c>
      <c r="G250" s="99" t="s">
        <v>299</v>
      </c>
      <c r="H250" s="99" t="s">
        <v>689</v>
      </c>
      <c r="I250" s="74">
        <v>424</v>
      </c>
      <c r="J250" s="74">
        <v>424</v>
      </c>
      <c r="K250" s="271">
        <f t="shared" si="36"/>
        <v>0</v>
      </c>
      <c r="L250" s="74">
        <v>440</v>
      </c>
      <c r="M250" s="74">
        <v>440</v>
      </c>
    </row>
    <row r="251" spans="1:13" s="269" customFormat="1" ht="42.75">
      <c r="A251" s="127" t="s">
        <v>331</v>
      </c>
      <c r="B251" s="266" t="s">
        <v>23</v>
      </c>
      <c r="C251" s="95" t="s">
        <v>68</v>
      </c>
      <c r="D251" s="67" t="s">
        <v>300</v>
      </c>
      <c r="E251" s="67" t="s">
        <v>148</v>
      </c>
      <c r="F251" s="67" t="s">
        <v>149</v>
      </c>
      <c r="G251" s="67" t="s">
        <v>150</v>
      </c>
      <c r="H251" s="67"/>
      <c r="I251" s="36">
        <f>I260+I252</f>
        <v>19075.5</v>
      </c>
      <c r="J251" s="36">
        <f>J260+J252</f>
        <v>19075.5</v>
      </c>
      <c r="K251" s="267">
        <f aca="true" t="shared" si="38" ref="K251:K283">J251-I251</f>
        <v>0</v>
      </c>
      <c r="L251" s="36">
        <f>L260+L252</f>
        <v>18076.600000000002</v>
      </c>
      <c r="M251" s="36">
        <f>M260+M252</f>
        <v>2084.9</v>
      </c>
    </row>
    <row r="252" spans="1:13" s="269" customFormat="1" ht="57">
      <c r="A252" s="127" t="s">
        <v>880</v>
      </c>
      <c r="B252" s="266" t="s">
        <v>23</v>
      </c>
      <c r="C252" s="95" t="s">
        <v>68</v>
      </c>
      <c r="D252" s="67" t="s">
        <v>300</v>
      </c>
      <c r="E252" s="67" t="s">
        <v>131</v>
      </c>
      <c r="F252" s="67" t="s">
        <v>149</v>
      </c>
      <c r="G252" s="67" t="s">
        <v>150</v>
      </c>
      <c r="H252" s="67"/>
      <c r="I252" s="36">
        <f>I253</f>
        <v>18991.7</v>
      </c>
      <c r="J252" s="36">
        <f>J253</f>
        <v>18991.7</v>
      </c>
      <c r="K252" s="267">
        <f t="shared" si="38"/>
        <v>0</v>
      </c>
      <c r="L252" s="36">
        <f>L253</f>
        <v>17991.7</v>
      </c>
      <c r="M252" s="36">
        <f>M253</f>
        <v>2000</v>
      </c>
    </row>
    <row r="253" spans="1:13" s="269" customFormat="1" ht="28.5">
      <c r="A253" s="127" t="s">
        <v>842</v>
      </c>
      <c r="B253" s="266" t="s">
        <v>23</v>
      </c>
      <c r="C253" s="95" t="s">
        <v>68</v>
      </c>
      <c r="D253" s="67" t="s">
        <v>300</v>
      </c>
      <c r="E253" s="67" t="s">
        <v>131</v>
      </c>
      <c r="F253" s="67" t="s">
        <v>288</v>
      </c>
      <c r="G253" s="67" t="s">
        <v>150</v>
      </c>
      <c r="H253" s="67"/>
      <c r="I253" s="36">
        <f>I254+I256+I258</f>
        <v>18991.7</v>
      </c>
      <c r="J253" s="36">
        <f>J254+J256+J258</f>
        <v>18991.7</v>
      </c>
      <c r="K253" s="267">
        <f t="shared" si="38"/>
        <v>0</v>
      </c>
      <c r="L253" s="36">
        <f>L254+L256+L258</f>
        <v>17991.7</v>
      </c>
      <c r="M253" s="36">
        <f>M254+M256+M258</f>
        <v>2000</v>
      </c>
    </row>
    <row r="254" spans="1:13" s="269" customFormat="1" ht="30">
      <c r="A254" s="109" t="s">
        <v>843</v>
      </c>
      <c r="B254" s="270" t="s">
        <v>23</v>
      </c>
      <c r="C254" s="100" t="s">
        <v>68</v>
      </c>
      <c r="D254" s="99" t="s">
        <v>300</v>
      </c>
      <c r="E254" s="99" t="s">
        <v>131</v>
      </c>
      <c r="F254" s="99" t="s">
        <v>288</v>
      </c>
      <c r="G254" s="99" t="s">
        <v>454</v>
      </c>
      <c r="H254" s="99"/>
      <c r="I254" s="74">
        <f>I255</f>
        <v>4000</v>
      </c>
      <c r="J254" s="74">
        <f>J255</f>
        <v>4000</v>
      </c>
      <c r="K254" s="271">
        <f t="shared" si="38"/>
        <v>0</v>
      </c>
      <c r="L254" s="74">
        <f>L255</f>
        <v>3000</v>
      </c>
      <c r="M254" s="74">
        <f>M255</f>
        <v>0</v>
      </c>
    </row>
    <row r="255" spans="1:13" s="269" customFormat="1" ht="30">
      <c r="A255" s="109" t="s">
        <v>683</v>
      </c>
      <c r="B255" s="270" t="s">
        <v>23</v>
      </c>
      <c r="C255" s="100" t="s">
        <v>68</v>
      </c>
      <c r="D255" s="99" t="s">
        <v>300</v>
      </c>
      <c r="E255" s="99" t="s">
        <v>131</v>
      </c>
      <c r="F255" s="99" t="s">
        <v>288</v>
      </c>
      <c r="G255" s="99" t="s">
        <v>454</v>
      </c>
      <c r="H255" s="99" t="s">
        <v>682</v>
      </c>
      <c r="I255" s="74">
        <v>4000</v>
      </c>
      <c r="J255" s="74">
        <v>4000</v>
      </c>
      <c r="K255" s="271">
        <f t="shared" si="38"/>
        <v>0</v>
      </c>
      <c r="L255" s="74">
        <v>3000</v>
      </c>
      <c r="M255" s="74"/>
    </row>
    <row r="256" spans="1:13" s="269" customFormat="1" ht="30">
      <c r="A256" s="109" t="s">
        <v>844</v>
      </c>
      <c r="B256" s="270" t="s">
        <v>23</v>
      </c>
      <c r="C256" s="100" t="s">
        <v>68</v>
      </c>
      <c r="D256" s="99" t="s">
        <v>300</v>
      </c>
      <c r="E256" s="99" t="s">
        <v>131</v>
      </c>
      <c r="F256" s="99" t="s">
        <v>288</v>
      </c>
      <c r="G256" s="99" t="s">
        <v>704</v>
      </c>
      <c r="H256" s="99"/>
      <c r="I256" s="74">
        <f>I257</f>
        <v>1500</v>
      </c>
      <c r="J256" s="74">
        <f>J257</f>
        <v>1500</v>
      </c>
      <c r="K256" s="271">
        <f t="shared" si="38"/>
        <v>0</v>
      </c>
      <c r="L256" s="74">
        <f>L257</f>
        <v>1500</v>
      </c>
      <c r="M256" s="74">
        <f>M257</f>
        <v>2000</v>
      </c>
    </row>
    <row r="257" spans="1:13" s="269" customFormat="1" ht="30">
      <c r="A257" s="109" t="s">
        <v>683</v>
      </c>
      <c r="B257" s="270" t="s">
        <v>23</v>
      </c>
      <c r="C257" s="100" t="s">
        <v>68</v>
      </c>
      <c r="D257" s="99" t="s">
        <v>300</v>
      </c>
      <c r="E257" s="99" t="s">
        <v>131</v>
      </c>
      <c r="F257" s="99" t="s">
        <v>288</v>
      </c>
      <c r="G257" s="99" t="s">
        <v>704</v>
      </c>
      <c r="H257" s="99" t="s">
        <v>682</v>
      </c>
      <c r="I257" s="74">
        <v>1500</v>
      </c>
      <c r="J257" s="74">
        <v>1500</v>
      </c>
      <c r="K257" s="271">
        <f t="shared" si="38"/>
        <v>0</v>
      </c>
      <c r="L257" s="74">
        <v>1500</v>
      </c>
      <c r="M257" s="74">
        <v>2000</v>
      </c>
    </row>
    <row r="258" spans="1:13" s="269" customFormat="1" ht="45">
      <c r="A258" s="109" t="s">
        <v>1045</v>
      </c>
      <c r="B258" s="270" t="s">
        <v>23</v>
      </c>
      <c r="C258" s="100" t="s">
        <v>68</v>
      </c>
      <c r="D258" s="99" t="s">
        <v>300</v>
      </c>
      <c r="E258" s="99" t="s">
        <v>131</v>
      </c>
      <c r="F258" s="99" t="s">
        <v>288</v>
      </c>
      <c r="G258" s="99" t="s">
        <v>1044</v>
      </c>
      <c r="H258" s="99"/>
      <c r="I258" s="74">
        <f>I259</f>
        <v>13491.7</v>
      </c>
      <c r="J258" s="74">
        <f>J259</f>
        <v>13491.7</v>
      </c>
      <c r="K258" s="271">
        <f t="shared" si="38"/>
        <v>0</v>
      </c>
      <c r="L258" s="74">
        <f>L259</f>
        <v>13491.7</v>
      </c>
      <c r="M258" s="74">
        <f>M259</f>
        <v>0</v>
      </c>
    </row>
    <row r="259" spans="1:13" s="269" customFormat="1" ht="30">
      <c r="A259" s="109" t="s">
        <v>683</v>
      </c>
      <c r="B259" s="270" t="s">
        <v>23</v>
      </c>
      <c r="C259" s="100" t="s">
        <v>68</v>
      </c>
      <c r="D259" s="99" t="s">
        <v>300</v>
      </c>
      <c r="E259" s="99" t="s">
        <v>131</v>
      </c>
      <c r="F259" s="99" t="s">
        <v>288</v>
      </c>
      <c r="G259" s="99" t="s">
        <v>1044</v>
      </c>
      <c r="H259" s="99" t="s">
        <v>682</v>
      </c>
      <c r="I259" s="74">
        <f>2700+26983.3-26983.3+10791.7</f>
        <v>13491.7</v>
      </c>
      <c r="J259" s="74">
        <f>2700+26983.3-26983.3+10791.7</f>
        <v>13491.7</v>
      </c>
      <c r="K259" s="271">
        <f t="shared" si="38"/>
        <v>0</v>
      </c>
      <c r="L259" s="74">
        <v>13491.7</v>
      </c>
      <c r="M259" s="74"/>
    </row>
    <row r="260" spans="1:13" s="269" customFormat="1" ht="28.5">
      <c r="A260" s="124" t="s">
        <v>824</v>
      </c>
      <c r="B260" s="266" t="s">
        <v>23</v>
      </c>
      <c r="C260" s="95" t="s">
        <v>68</v>
      </c>
      <c r="D260" s="67" t="s">
        <v>300</v>
      </c>
      <c r="E260" s="67" t="s">
        <v>135</v>
      </c>
      <c r="F260" s="67" t="s">
        <v>149</v>
      </c>
      <c r="G260" s="67" t="s">
        <v>150</v>
      </c>
      <c r="H260" s="67"/>
      <c r="I260" s="36">
        <f aca="true" t="shared" si="39" ref="I260:M262">I261</f>
        <v>83.8</v>
      </c>
      <c r="J260" s="36">
        <f t="shared" si="39"/>
        <v>83.8</v>
      </c>
      <c r="K260" s="267">
        <f t="shared" si="38"/>
        <v>0</v>
      </c>
      <c r="L260" s="36">
        <f t="shared" si="39"/>
        <v>84.9</v>
      </c>
      <c r="M260" s="36">
        <f t="shared" si="39"/>
        <v>84.9</v>
      </c>
    </row>
    <row r="261" spans="1:13" s="268" customFormat="1" ht="28.5">
      <c r="A261" s="124" t="s">
        <v>825</v>
      </c>
      <c r="B261" s="266" t="s">
        <v>23</v>
      </c>
      <c r="C261" s="95" t="s">
        <v>68</v>
      </c>
      <c r="D261" s="67" t="s">
        <v>300</v>
      </c>
      <c r="E261" s="67" t="s">
        <v>135</v>
      </c>
      <c r="F261" s="67" t="s">
        <v>147</v>
      </c>
      <c r="G261" s="67" t="s">
        <v>150</v>
      </c>
      <c r="H261" s="67"/>
      <c r="I261" s="36">
        <f t="shared" si="39"/>
        <v>83.8</v>
      </c>
      <c r="J261" s="36">
        <f t="shared" si="39"/>
        <v>83.8</v>
      </c>
      <c r="K261" s="267">
        <f t="shared" si="38"/>
        <v>0</v>
      </c>
      <c r="L261" s="36">
        <f t="shared" si="39"/>
        <v>84.9</v>
      </c>
      <c r="M261" s="36">
        <f t="shared" si="39"/>
        <v>84.9</v>
      </c>
    </row>
    <row r="262" spans="1:13" s="268" customFormat="1" ht="30">
      <c r="A262" s="115" t="s">
        <v>339</v>
      </c>
      <c r="B262" s="270" t="s">
        <v>23</v>
      </c>
      <c r="C262" s="100" t="s">
        <v>68</v>
      </c>
      <c r="D262" s="99" t="s">
        <v>300</v>
      </c>
      <c r="E262" s="99" t="s">
        <v>135</v>
      </c>
      <c r="F262" s="99" t="s">
        <v>147</v>
      </c>
      <c r="G262" s="99" t="s">
        <v>340</v>
      </c>
      <c r="H262" s="99"/>
      <c r="I262" s="74">
        <f t="shared" si="39"/>
        <v>83.8</v>
      </c>
      <c r="J262" s="74">
        <f t="shared" si="39"/>
        <v>83.8</v>
      </c>
      <c r="K262" s="271">
        <f t="shared" si="38"/>
        <v>0</v>
      </c>
      <c r="L262" s="74">
        <f t="shared" si="39"/>
        <v>84.9</v>
      </c>
      <c r="M262" s="74">
        <f t="shared" si="39"/>
        <v>84.9</v>
      </c>
    </row>
    <row r="263" spans="1:13" s="268" customFormat="1" ht="30">
      <c r="A263" s="111" t="s">
        <v>683</v>
      </c>
      <c r="B263" s="270" t="s">
        <v>23</v>
      </c>
      <c r="C263" s="100" t="s">
        <v>68</v>
      </c>
      <c r="D263" s="99" t="s">
        <v>300</v>
      </c>
      <c r="E263" s="99" t="s">
        <v>135</v>
      </c>
      <c r="F263" s="99" t="s">
        <v>147</v>
      </c>
      <c r="G263" s="99" t="s">
        <v>340</v>
      </c>
      <c r="H263" s="99" t="s">
        <v>682</v>
      </c>
      <c r="I263" s="74">
        <v>83.8</v>
      </c>
      <c r="J263" s="74">
        <v>83.8</v>
      </c>
      <c r="K263" s="271">
        <f t="shared" si="38"/>
        <v>0</v>
      </c>
      <c r="L263" s="74">
        <v>84.9</v>
      </c>
      <c r="M263" s="74">
        <v>84.9</v>
      </c>
    </row>
    <row r="264" spans="1:13" s="269" customFormat="1" ht="57">
      <c r="A264" s="116" t="s">
        <v>983</v>
      </c>
      <c r="B264" s="266">
        <v>110</v>
      </c>
      <c r="C264" s="95" t="s">
        <v>68</v>
      </c>
      <c r="D264" s="67" t="s">
        <v>332</v>
      </c>
      <c r="E264" s="67" t="s">
        <v>148</v>
      </c>
      <c r="F264" s="67" t="s">
        <v>149</v>
      </c>
      <c r="G264" s="67" t="s">
        <v>150</v>
      </c>
      <c r="H264" s="67"/>
      <c r="I264" s="36">
        <f>I265+I268+I273+I278+I281</f>
        <v>3735.1000000000004</v>
      </c>
      <c r="J264" s="36">
        <f>J265+J268+J273+J278+J281</f>
        <v>3735.1000000000004</v>
      </c>
      <c r="K264" s="267">
        <f t="shared" si="38"/>
        <v>0</v>
      </c>
      <c r="L264" s="36">
        <f>L265+L268+L273+L278+L281</f>
        <v>2989.5</v>
      </c>
      <c r="M264" s="36">
        <f>M265+M268+M273+M278+M281</f>
        <v>902.7</v>
      </c>
    </row>
    <row r="265" spans="1:13" s="269" customFormat="1" ht="28.5">
      <c r="A265" s="116" t="s">
        <v>802</v>
      </c>
      <c r="B265" s="266">
        <v>110</v>
      </c>
      <c r="C265" s="95" t="s">
        <v>68</v>
      </c>
      <c r="D265" s="67" t="s">
        <v>332</v>
      </c>
      <c r="E265" s="67" t="s">
        <v>148</v>
      </c>
      <c r="F265" s="67" t="s">
        <v>147</v>
      </c>
      <c r="G265" s="67" t="s">
        <v>150</v>
      </c>
      <c r="H265" s="67"/>
      <c r="I265" s="36">
        <f aca="true" t="shared" si="40" ref="I265:M266">I266</f>
        <v>1948.6</v>
      </c>
      <c r="J265" s="36">
        <f t="shared" si="40"/>
        <v>1948.6</v>
      </c>
      <c r="K265" s="267">
        <f t="shared" si="38"/>
        <v>0</v>
      </c>
      <c r="L265" s="36">
        <f t="shared" si="40"/>
        <v>2065</v>
      </c>
      <c r="M265" s="36">
        <f t="shared" si="40"/>
        <v>250</v>
      </c>
    </row>
    <row r="266" spans="1:13" s="268" customFormat="1" ht="65.25" customHeight="1">
      <c r="A266" s="115" t="s">
        <v>1103</v>
      </c>
      <c r="B266" s="270">
        <v>110</v>
      </c>
      <c r="C266" s="100" t="s">
        <v>68</v>
      </c>
      <c r="D266" s="99" t="s">
        <v>332</v>
      </c>
      <c r="E266" s="99" t="s">
        <v>148</v>
      </c>
      <c r="F266" s="99" t="s">
        <v>147</v>
      </c>
      <c r="G266" s="99" t="s">
        <v>520</v>
      </c>
      <c r="H266" s="99"/>
      <c r="I266" s="74">
        <f t="shared" si="40"/>
        <v>1948.6</v>
      </c>
      <c r="J266" s="74">
        <f t="shared" si="40"/>
        <v>1948.6</v>
      </c>
      <c r="K266" s="271">
        <f t="shared" si="38"/>
        <v>0</v>
      </c>
      <c r="L266" s="74">
        <f t="shared" si="40"/>
        <v>2065</v>
      </c>
      <c r="M266" s="74">
        <f t="shared" si="40"/>
        <v>250</v>
      </c>
    </row>
    <row r="267" spans="1:13" s="268" customFormat="1" ht="15">
      <c r="A267" s="115" t="s">
        <v>684</v>
      </c>
      <c r="B267" s="270">
        <v>110</v>
      </c>
      <c r="C267" s="100" t="s">
        <v>68</v>
      </c>
      <c r="D267" s="99" t="s">
        <v>332</v>
      </c>
      <c r="E267" s="99" t="s">
        <v>148</v>
      </c>
      <c r="F267" s="99" t="s">
        <v>147</v>
      </c>
      <c r="G267" s="99" t="s">
        <v>520</v>
      </c>
      <c r="H267" s="99" t="s">
        <v>685</v>
      </c>
      <c r="I267" s="74">
        <f>202.8+1745.8</f>
        <v>1948.6</v>
      </c>
      <c r="J267" s="74">
        <f>202.8+1745.8</f>
        <v>1948.6</v>
      </c>
      <c r="K267" s="271">
        <f t="shared" si="38"/>
        <v>0</v>
      </c>
      <c r="L267" s="74">
        <f>250+1815</f>
        <v>2065</v>
      </c>
      <c r="M267" s="74">
        <v>250</v>
      </c>
    </row>
    <row r="268" spans="1:13" s="268" customFormat="1" ht="28.5">
      <c r="A268" s="116" t="s">
        <v>803</v>
      </c>
      <c r="B268" s="266" t="s">
        <v>23</v>
      </c>
      <c r="C268" s="95" t="s">
        <v>68</v>
      </c>
      <c r="D268" s="67" t="s">
        <v>332</v>
      </c>
      <c r="E268" s="67" t="s">
        <v>148</v>
      </c>
      <c r="F268" s="67" t="s">
        <v>160</v>
      </c>
      <c r="G268" s="67" t="s">
        <v>150</v>
      </c>
      <c r="H268" s="67"/>
      <c r="I268" s="36">
        <f>I269+I271</f>
        <v>286.3</v>
      </c>
      <c r="J268" s="36">
        <f>J269+J271</f>
        <v>286.3</v>
      </c>
      <c r="K268" s="271">
        <f t="shared" si="38"/>
        <v>0</v>
      </c>
      <c r="L268" s="36">
        <f>L269+L271</f>
        <v>300</v>
      </c>
      <c r="M268" s="36">
        <f>M269+M271</f>
        <v>300</v>
      </c>
    </row>
    <row r="269" spans="1:13" s="268" customFormat="1" ht="30">
      <c r="A269" s="111" t="s">
        <v>820</v>
      </c>
      <c r="B269" s="270" t="s">
        <v>23</v>
      </c>
      <c r="C269" s="100" t="s">
        <v>68</v>
      </c>
      <c r="D269" s="99" t="s">
        <v>332</v>
      </c>
      <c r="E269" s="99" t="s">
        <v>148</v>
      </c>
      <c r="F269" s="99" t="s">
        <v>160</v>
      </c>
      <c r="G269" s="99" t="s">
        <v>335</v>
      </c>
      <c r="H269" s="99"/>
      <c r="I269" s="74">
        <f>I270</f>
        <v>143</v>
      </c>
      <c r="J269" s="74">
        <f>J270</f>
        <v>143</v>
      </c>
      <c r="K269" s="271">
        <f t="shared" si="38"/>
        <v>0</v>
      </c>
      <c r="L269" s="74">
        <f>L270</f>
        <v>150</v>
      </c>
      <c r="M269" s="74">
        <f>M270</f>
        <v>150</v>
      </c>
    </row>
    <row r="270" spans="1:13" s="268" customFormat="1" ht="30">
      <c r="A270" s="115" t="s">
        <v>688</v>
      </c>
      <c r="B270" s="270" t="s">
        <v>23</v>
      </c>
      <c r="C270" s="100" t="s">
        <v>68</v>
      </c>
      <c r="D270" s="99" t="s">
        <v>332</v>
      </c>
      <c r="E270" s="99" t="s">
        <v>148</v>
      </c>
      <c r="F270" s="99" t="s">
        <v>160</v>
      </c>
      <c r="G270" s="99" t="s">
        <v>335</v>
      </c>
      <c r="H270" s="99" t="s">
        <v>689</v>
      </c>
      <c r="I270" s="74">
        <v>143</v>
      </c>
      <c r="J270" s="74">
        <v>143</v>
      </c>
      <c r="K270" s="271">
        <f t="shared" si="38"/>
        <v>0</v>
      </c>
      <c r="L270" s="74">
        <v>150</v>
      </c>
      <c r="M270" s="74">
        <v>150</v>
      </c>
    </row>
    <row r="271" spans="1:13" s="268" customFormat="1" ht="75">
      <c r="A271" s="115" t="s">
        <v>977</v>
      </c>
      <c r="B271" s="270" t="s">
        <v>23</v>
      </c>
      <c r="C271" s="100" t="s">
        <v>68</v>
      </c>
      <c r="D271" s="99" t="s">
        <v>332</v>
      </c>
      <c r="E271" s="99" t="s">
        <v>148</v>
      </c>
      <c r="F271" s="99" t="s">
        <v>160</v>
      </c>
      <c r="G271" s="99" t="s">
        <v>978</v>
      </c>
      <c r="H271" s="99"/>
      <c r="I271" s="74">
        <f>I272</f>
        <v>143.3</v>
      </c>
      <c r="J271" s="74">
        <f>J272</f>
        <v>143.3</v>
      </c>
      <c r="K271" s="271">
        <f t="shared" si="38"/>
        <v>0</v>
      </c>
      <c r="L271" s="74">
        <f>L272</f>
        <v>150</v>
      </c>
      <c r="M271" s="74">
        <f>M272</f>
        <v>150</v>
      </c>
    </row>
    <row r="272" spans="1:13" s="268" customFormat="1" ht="30">
      <c r="A272" s="115" t="s">
        <v>688</v>
      </c>
      <c r="B272" s="270" t="s">
        <v>23</v>
      </c>
      <c r="C272" s="100" t="s">
        <v>68</v>
      </c>
      <c r="D272" s="99" t="s">
        <v>332</v>
      </c>
      <c r="E272" s="99" t="s">
        <v>148</v>
      </c>
      <c r="F272" s="99" t="s">
        <v>160</v>
      </c>
      <c r="G272" s="99" t="s">
        <v>978</v>
      </c>
      <c r="H272" s="99" t="s">
        <v>689</v>
      </c>
      <c r="I272" s="74">
        <v>143.3</v>
      </c>
      <c r="J272" s="74">
        <v>143.3</v>
      </c>
      <c r="K272" s="271">
        <f t="shared" si="38"/>
        <v>0</v>
      </c>
      <c r="L272" s="74">
        <v>150</v>
      </c>
      <c r="M272" s="74">
        <v>150</v>
      </c>
    </row>
    <row r="273" spans="1:13" s="268" customFormat="1" ht="28.5">
      <c r="A273" s="116" t="s">
        <v>804</v>
      </c>
      <c r="B273" s="266">
        <v>110</v>
      </c>
      <c r="C273" s="95" t="s">
        <v>68</v>
      </c>
      <c r="D273" s="67" t="s">
        <v>332</v>
      </c>
      <c r="E273" s="67" t="s">
        <v>148</v>
      </c>
      <c r="F273" s="67" t="s">
        <v>206</v>
      </c>
      <c r="G273" s="67" t="s">
        <v>150</v>
      </c>
      <c r="H273" s="67"/>
      <c r="I273" s="36">
        <f>I274+I276</f>
        <v>1010.1</v>
      </c>
      <c r="J273" s="36">
        <f>J274+J276</f>
        <v>1010.1</v>
      </c>
      <c r="K273" s="267">
        <f t="shared" si="38"/>
        <v>0</v>
      </c>
      <c r="L273" s="36">
        <f>L274+L276</f>
        <v>110.1</v>
      </c>
      <c r="M273" s="36">
        <f>M274+M276</f>
        <v>110.1</v>
      </c>
    </row>
    <row r="274" spans="1:13" s="268" customFormat="1" ht="45" hidden="1">
      <c r="A274" s="102" t="s">
        <v>805</v>
      </c>
      <c r="B274" s="270">
        <v>110</v>
      </c>
      <c r="C274" s="100" t="s">
        <v>68</v>
      </c>
      <c r="D274" s="99" t="s">
        <v>332</v>
      </c>
      <c r="E274" s="99" t="s">
        <v>148</v>
      </c>
      <c r="F274" s="99" t="s">
        <v>206</v>
      </c>
      <c r="G274" s="99" t="s">
        <v>821</v>
      </c>
      <c r="H274" s="99"/>
      <c r="I274" s="74">
        <f>I275</f>
        <v>0</v>
      </c>
      <c r="J274" s="74">
        <f>J275</f>
        <v>0</v>
      </c>
      <c r="K274" s="271">
        <f t="shared" si="38"/>
        <v>0</v>
      </c>
      <c r="L274" s="74">
        <f>L275</f>
        <v>0</v>
      </c>
      <c r="M274" s="74">
        <f>M275</f>
        <v>0</v>
      </c>
    </row>
    <row r="275" spans="1:13" s="268" customFormat="1" ht="30" hidden="1">
      <c r="A275" s="115" t="s">
        <v>688</v>
      </c>
      <c r="B275" s="270">
        <v>110</v>
      </c>
      <c r="C275" s="100" t="s">
        <v>68</v>
      </c>
      <c r="D275" s="99" t="s">
        <v>332</v>
      </c>
      <c r="E275" s="99" t="s">
        <v>148</v>
      </c>
      <c r="F275" s="99" t="s">
        <v>206</v>
      </c>
      <c r="G275" s="99" t="s">
        <v>821</v>
      </c>
      <c r="H275" s="99" t="s">
        <v>689</v>
      </c>
      <c r="I275" s="74"/>
      <c r="J275" s="74"/>
      <c r="K275" s="271">
        <f t="shared" si="38"/>
        <v>0</v>
      </c>
      <c r="L275" s="74"/>
      <c r="M275" s="74"/>
    </row>
    <row r="276" spans="1:13" s="268" customFormat="1" ht="45">
      <c r="A276" s="115" t="s">
        <v>980</v>
      </c>
      <c r="B276" s="270">
        <v>110</v>
      </c>
      <c r="C276" s="100" t="s">
        <v>68</v>
      </c>
      <c r="D276" s="99" t="s">
        <v>332</v>
      </c>
      <c r="E276" s="99" t="s">
        <v>148</v>
      </c>
      <c r="F276" s="99" t="s">
        <v>206</v>
      </c>
      <c r="G276" s="99" t="s">
        <v>979</v>
      </c>
      <c r="H276" s="99"/>
      <c r="I276" s="74">
        <f>I277</f>
        <v>1010.1</v>
      </c>
      <c r="J276" s="74">
        <f>J277</f>
        <v>1010.1</v>
      </c>
      <c r="K276" s="271">
        <f t="shared" si="38"/>
        <v>0</v>
      </c>
      <c r="L276" s="74">
        <f>L277</f>
        <v>110.1</v>
      </c>
      <c r="M276" s="74">
        <f>M277</f>
        <v>110.1</v>
      </c>
    </row>
    <row r="277" spans="1:13" s="268" customFormat="1" ht="15">
      <c r="A277" s="102" t="s">
        <v>684</v>
      </c>
      <c r="B277" s="270">
        <v>110</v>
      </c>
      <c r="C277" s="100" t="s">
        <v>68</v>
      </c>
      <c r="D277" s="99" t="s">
        <v>332</v>
      </c>
      <c r="E277" s="99" t="s">
        <v>148</v>
      </c>
      <c r="F277" s="99" t="s">
        <v>206</v>
      </c>
      <c r="G277" s="99" t="s">
        <v>979</v>
      </c>
      <c r="H277" s="99" t="s">
        <v>685</v>
      </c>
      <c r="I277" s="74">
        <f>110.1+900</f>
        <v>1010.1</v>
      </c>
      <c r="J277" s="74">
        <f>110.1+900</f>
        <v>1010.1</v>
      </c>
      <c r="K277" s="271">
        <f t="shared" si="38"/>
        <v>0</v>
      </c>
      <c r="L277" s="74">
        <v>110.1</v>
      </c>
      <c r="M277" s="74">
        <v>110.1</v>
      </c>
    </row>
    <row r="278" spans="1:13" s="268" customFormat="1" ht="33.75" customHeight="1">
      <c r="A278" s="124" t="s">
        <v>806</v>
      </c>
      <c r="B278" s="266">
        <v>110</v>
      </c>
      <c r="C278" s="95" t="s">
        <v>68</v>
      </c>
      <c r="D278" s="67" t="s">
        <v>332</v>
      </c>
      <c r="E278" s="67" t="s">
        <v>148</v>
      </c>
      <c r="F278" s="67" t="s">
        <v>223</v>
      </c>
      <c r="G278" s="67" t="s">
        <v>150</v>
      </c>
      <c r="H278" s="67"/>
      <c r="I278" s="36">
        <f aca="true" t="shared" si="41" ref="I278:M279">I279</f>
        <v>303.3</v>
      </c>
      <c r="J278" s="36">
        <f t="shared" si="41"/>
        <v>303.3</v>
      </c>
      <c r="K278" s="267">
        <f t="shared" si="38"/>
        <v>0</v>
      </c>
      <c r="L278" s="36">
        <f t="shared" si="41"/>
        <v>324.3</v>
      </c>
      <c r="M278" s="36">
        <f t="shared" si="41"/>
        <v>52.499999999999986</v>
      </c>
    </row>
    <row r="279" spans="1:13" s="269" customFormat="1" ht="33" customHeight="1">
      <c r="A279" s="111" t="s">
        <v>1097</v>
      </c>
      <c r="B279" s="270">
        <v>110</v>
      </c>
      <c r="C279" s="100" t="s">
        <v>68</v>
      </c>
      <c r="D279" s="99" t="s">
        <v>332</v>
      </c>
      <c r="E279" s="99" t="s">
        <v>148</v>
      </c>
      <c r="F279" s="99" t="s">
        <v>223</v>
      </c>
      <c r="G279" s="99" t="s">
        <v>519</v>
      </c>
      <c r="H279" s="99"/>
      <c r="I279" s="74">
        <f t="shared" si="41"/>
        <v>303.3</v>
      </c>
      <c r="J279" s="74">
        <f t="shared" si="41"/>
        <v>303.3</v>
      </c>
      <c r="K279" s="271">
        <f t="shared" si="38"/>
        <v>0</v>
      </c>
      <c r="L279" s="74">
        <f t="shared" si="41"/>
        <v>324.3</v>
      </c>
      <c r="M279" s="74">
        <f t="shared" si="41"/>
        <v>52.499999999999986</v>
      </c>
    </row>
    <row r="280" spans="1:13" s="269" customFormat="1" ht="30">
      <c r="A280" s="111" t="s">
        <v>688</v>
      </c>
      <c r="B280" s="270">
        <v>110</v>
      </c>
      <c r="C280" s="100" t="s">
        <v>68</v>
      </c>
      <c r="D280" s="99" t="s">
        <v>332</v>
      </c>
      <c r="E280" s="99" t="s">
        <v>148</v>
      </c>
      <c r="F280" s="99" t="s">
        <v>223</v>
      </c>
      <c r="G280" s="99" t="s">
        <v>519</v>
      </c>
      <c r="H280" s="99" t="s">
        <v>689</v>
      </c>
      <c r="I280" s="74">
        <f>53+124.1-124.1+250.3</f>
        <v>303.3</v>
      </c>
      <c r="J280" s="74">
        <f>53+124.1-124.1+250.3</f>
        <v>303.3</v>
      </c>
      <c r="K280" s="271">
        <f t="shared" si="38"/>
        <v>0</v>
      </c>
      <c r="L280" s="74">
        <f>52.5+124.7-0.6-124.1+271.8</f>
        <v>324.3</v>
      </c>
      <c r="M280" s="74">
        <f>52.5+124.7-124.7</f>
        <v>52.499999999999986</v>
      </c>
    </row>
    <row r="281" spans="1:13" s="268" customFormat="1" ht="60.75" customHeight="1">
      <c r="A281" s="125" t="s">
        <v>1106</v>
      </c>
      <c r="B281" s="266" t="s">
        <v>23</v>
      </c>
      <c r="C281" s="95" t="s">
        <v>68</v>
      </c>
      <c r="D281" s="67" t="s">
        <v>332</v>
      </c>
      <c r="E281" s="67" t="s">
        <v>148</v>
      </c>
      <c r="F281" s="67" t="s">
        <v>332</v>
      </c>
      <c r="G281" s="67" t="s">
        <v>150</v>
      </c>
      <c r="H281" s="67"/>
      <c r="I281" s="36">
        <f aca="true" t="shared" si="42" ref="I281:M282">I282</f>
        <v>186.8</v>
      </c>
      <c r="J281" s="36">
        <f t="shared" si="42"/>
        <v>186.8</v>
      </c>
      <c r="K281" s="267">
        <f t="shared" si="38"/>
        <v>0</v>
      </c>
      <c r="L281" s="36">
        <f t="shared" si="42"/>
        <v>190.1</v>
      </c>
      <c r="M281" s="36">
        <f t="shared" si="42"/>
        <v>190.1</v>
      </c>
    </row>
    <row r="282" spans="1:13" s="269" customFormat="1" ht="45">
      <c r="A282" s="111" t="s">
        <v>1110</v>
      </c>
      <c r="B282" s="270" t="s">
        <v>23</v>
      </c>
      <c r="C282" s="100" t="s">
        <v>68</v>
      </c>
      <c r="D282" s="99" t="s">
        <v>332</v>
      </c>
      <c r="E282" s="99" t="s">
        <v>148</v>
      </c>
      <c r="F282" s="99" t="s">
        <v>332</v>
      </c>
      <c r="G282" s="99" t="s">
        <v>336</v>
      </c>
      <c r="H282" s="99"/>
      <c r="I282" s="74">
        <f t="shared" si="42"/>
        <v>186.8</v>
      </c>
      <c r="J282" s="74">
        <f t="shared" si="42"/>
        <v>186.8</v>
      </c>
      <c r="K282" s="271">
        <f t="shared" si="38"/>
        <v>0</v>
      </c>
      <c r="L282" s="74">
        <f t="shared" si="42"/>
        <v>190.1</v>
      </c>
      <c r="M282" s="74">
        <f t="shared" si="42"/>
        <v>190.1</v>
      </c>
    </row>
    <row r="283" spans="1:13" s="269" customFormat="1" ht="30">
      <c r="A283" s="111" t="s">
        <v>683</v>
      </c>
      <c r="B283" s="270" t="s">
        <v>23</v>
      </c>
      <c r="C283" s="100" t="s">
        <v>68</v>
      </c>
      <c r="D283" s="99" t="s">
        <v>332</v>
      </c>
      <c r="E283" s="99" t="s">
        <v>148</v>
      </c>
      <c r="F283" s="99" t="s">
        <v>332</v>
      </c>
      <c r="G283" s="99" t="s">
        <v>336</v>
      </c>
      <c r="H283" s="99" t="s">
        <v>682</v>
      </c>
      <c r="I283" s="74">
        <f>146.8+40</f>
        <v>186.8</v>
      </c>
      <c r="J283" s="74">
        <f>146.8+40</f>
        <v>186.8</v>
      </c>
      <c r="K283" s="271">
        <f t="shared" si="38"/>
        <v>0</v>
      </c>
      <c r="L283" s="74">
        <f>150.1+40</f>
        <v>190.1</v>
      </c>
      <c r="M283" s="74">
        <f>150.1+40</f>
        <v>190.1</v>
      </c>
    </row>
    <row r="284" spans="1:13" s="269" customFormat="1" ht="15">
      <c r="A284" s="127" t="s">
        <v>424</v>
      </c>
      <c r="B284" s="266" t="s">
        <v>23</v>
      </c>
      <c r="C284" s="95" t="s">
        <v>68</v>
      </c>
      <c r="D284" s="67" t="s">
        <v>425</v>
      </c>
      <c r="E284" s="67" t="s">
        <v>148</v>
      </c>
      <c r="F284" s="67" t="s">
        <v>149</v>
      </c>
      <c r="G284" s="67" t="s">
        <v>150</v>
      </c>
      <c r="H284" s="67"/>
      <c r="I284" s="36">
        <f aca="true" t="shared" si="43" ref="I284:M285">I285</f>
        <v>800</v>
      </c>
      <c r="J284" s="36">
        <f t="shared" si="43"/>
        <v>800</v>
      </c>
      <c r="K284" s="267">
        <f aca="true" t="shared" si="44" ref="K284:K294">J284-I284</f>
        <v>0</v>
      </c>
      <c r="L284" s="36">
        <f t="shared" si="43"/>
        <v>400</v>
      </c>
      <c r="M284" s="36">
        <f t="shared" si="43"/>
        <v>400</v>
      </c>
    </row>
    <row r="285" spans="1:13" s="269" customFormat="1" ht="15">
      <c r="A285" s="124" t="s">
        <v>399</v>
      </c>
      <c r="B285" s="266" t="s">
        <v>23</v>
      </c>
      <c r="C285" s="95" t="s">
        <v>68</v>
      </c>
      <c r="D285" s="67" t="s">
        <v>425</v>
      </c>
      <c r="E285" s="67" t="s">
        <v>329</v>
      </c>
      <c r="F285" s="67" t="s">
        <v>149</v>
      </c>
      <c r="G285" s="67" t="s">
        <v>150</v>
      </c>
      <c r="H285" s="67"/>
      <c r="I285" s="36">
        <f t="shared" si="43"/>
        <v>800</v>
      </c>
      <c r="J285" s="36">
        <f t="shared" si="43"/>
        <v>800</v>
      </c>
      <c r="K285" s="267">
        <f t="shared" si="44"/>
        <v>0</v>
      </c>
      <c r="L285" s="36">
        <f t="shared" si="43"/>
        <v>400</v>
      </c>
      <c r="M285" s="36">
        <f t="shared" si="43"/>
        <v>400</v>
      </c>
    </row>
    <row r="286" spans="1:13" s="268" customFormat="1" ht="14.25">
      <c r="A286" s="127" t="s">
        <v>399</v>
      </c>
      <c r="B286" s="266" t="s">
        <v>23</v>
      </c>
      <c r="C286" s="95" t="s">
        <v>68</v>
      </c>
      <c r="D286" s="67" t="s">
        <v>425</v>
      </c>
      <c r="E286" s="67" t="s">
        <v>329</v>
      </c>
      <c r="F286" s="67" t="s">
        <v>147</v>
      </c>
      <c r="G286" s="67" t="s">
        <v>150</v>
      </c>
      <c r="H286" s="67"/>
      <c r="I286" s="36">
        <f>I287+I289+I291+I293</f>
        <v>800</v>
      </c>
      <c r="J286" s="36">
        <f>J287+J289+J291+J293</f>
        <v>800</v>
      </c>
      <c r="K286" s="267">
        <f t="shared" si="44"/>
        <v>0</v>
      </c>
      <c r="L286" s="36">
        <f>L287+L289+L291+L293</f>
        <v>400</v>
      </c>
      <c r="M286" s="36">
        <f>M287+M289+M291+M293</f>
        <v>400</v>
      </c>
    </row>
    <row r="287" spans="1:13" s="269" customFormat="1" ht="30" hidden="1">
      <c r="A287" s="109" t="s">
        <v>448</v>
      </c>
      <c r="B287" s="270">
        <v>110</v>
      </c>
      <c r="C287" s="100" t="s">
        <v>68</v>
      </c>
      <c r="D287" s="99" t="s">
        <v>425</v>
      </c>
      <c r="E287" s="99" t="s">
        <v>329</v>
      </c>
      <c r="F287" s="99" t="s">
        <v>147</v>
      </c>
      <c r="G287" s="99" t="s">
        <v>449</v>
      </c>
      <c r="H287" s="99"/>
      <c r="I287" s="74">
        <f>I288</f>
        <v>0</v>
      </c>
      <c r="J287" s="74">
        <f>J288</f>
        <v>0</v>
      </c>
      <c r="K287" s="271">
        <f t="shared" si="44"/>
        <v>0</v>
      </c>
      <c r="L287" s="74">
        <f>L288</f>
        <v>0</v>
      </c>
      <c r="M287" s="74">
        <f>M288</f>
        <v>0</v>
      </c>
    </row>
    <row r="288" spans="1:13" s="269" customFormat="1" ht="30" hidden="1">
      <c r="A288" s="109" t="s">
        <v>683</v>
      </c>
      <c r="B288" s="270">
        <v>110</v>
      </c>
      <c r="C288" s="100" t="s">
        <v>68</v>
      </c>
      <c r="D288" s="99" t="s">
        <v>425</v>
      </c>
      <c r="E288" s="99" t="s">
        <v>329</v>
      </c>
      <c r="F288" s="99" t="s">
        <v>147</v>
      </c>
      <c r="G288" s="99" t="s">
        <v>449</v>
      </c>
      <c r="H288" s="99" t="s">
        <v>682</v>
      </c>
      <c r="I288" s="134"/>
      <c r="J288" s="134"/>
      <c r="K288" s="271">
        <f t="shared" si="44"/>
        <v>0</v>
      </c>
      <c r="L288" s="74"/>
      <c r="M288" s="74"/>
    </row>
    <row r="289" spans="1:13" s="269" customFormat="1" ht="30" hidden="1">
      <c r="A289" s="22" t="s">
        <v>504</v>
      </c>
      <c r="B289" s="270">
        <v>110</v>
      </c>
      <c r="C289" s="100" t="s">
        <v>68</v>
      </c>
      <c r="D289" s="99" t="s">
        <v>425</v>
      </c>
      <c r="E289" s="99" t="s">
        <v>329</v>
      </c>
      <c r="F289" s="99" t="s">
        <v>147</v>
      </c>
      <c r="G289" s="99" t="s">
        <v>505</v>
      </c>
      <c r="H289" s="99"/>
      <c r="I289" s="74">
        <f>I290</f>
        <v>0</v>
      </c>
      <c r="J289" s="74">
        <f>J290</f>
        <v>0</v>
      </c>
      <c r="K289" s="271">
        <f t="shared" si="44"/>
        <v>0</v>
      </c>
      <c r="L289" s="74">
        <f>L290</f>
        <v>0</v>
      </c>
      <c r="M289" s="74">
        <f>M290</f>
        <v>0</v>
      </c>
    </row>
    <row r="290" spans="1:13" s="269" customFormat="1" ht="30" hidden="1">
      <c r="A290" s="22" t="s">
        <v>683</v>
      </c>
      <c r="B290" s="270">
        <v>110</v>
      </c>
      <c r="C290" s="100" t="s">
        <v>68</v>
      </c>
      <c r="D290" s="99" t="s">
        <v>425</v>
      </c>
      <c r="E290" s="99" t="s">
        <v>329</v>
      </c>
      <c r="F290" s="99" t="s">
        <v>147</v>
      </c>
      <c r="G290" s="99" t="s">
        <v>505</v>
      </c>
      <c r="H290" s="99" t="s">
        <v>682</v>
      </c>
      <c r="I290" s="273"/>
      <c r="J290" s="273"/>
      <c r="K290" s="271">
        <f t="shared" si="44"/>
        <v>0</v>
      </c>
      <c r="L290" s="74"/>
      <c r="M290" s="74"/>
    </row>
    <row r="291" spans="1:13" s="269" customFormat="1" ht="30" hidden="1">
      <c r="A291" s="109" t="s">
        <v>523</v>
      </c>
      <c r="B291" s="270">
        <v>110</v>
      </c>
      <c r="C291" s="100" t="s">
        <v>68</v>
      </c>
      <c r="D291" s="99" t="s">
        <v>425</v>
      </c>
      <c r="E291" s="99" t="s">
        <v>329</v>
      </c>
      <c r="F291" s="99" t="s">
        <v>147</v>
      </c>
      <c r="G291" s="99" t="s">
        <v>522</v>
      </c>
      <c r="H291" s="99"/>
      <c r="I291" s="74">
        <f>I292</f>
        <v>0</v>
      </c>
      <c r="J291" s="74">
        <f>J292</f>
        <v>0</v>
      </c>
      <c r="K291" s="271">
        <f t="shared" si="44"/>
        <v>0</v>
      </c>
      <c r="L291" s="74">
        <f>L292</f>
        <v>0</v>
      </c>
      <c r="M291" s="74">
        <f>M292</f>
        <v>0</v>
      </c>
    </row>
    <row r="292" spans="1:13" s="269" customFormat="1" ht="30" hidden="1">
      <c r="A292" s="109" t="s">
        <v>683</v>
      </c>
      <c r="B292" s="270">
        <v>110</v>
      </c>
      <c r="C292" s="100" t="s">
        <v>68</v>
      </c>
      <c r="D292" s="99" t="s">
        <v>425</v>
      </c>
      <c r="E292" s="99" t="s">
        <v>329</v>
      </c>
      <c r="F292" s="99" t="s">
        <v>147</v>
      </c>
      <c r="G292" s="99" t="s">
        <v>522</v>
      </c>
      <c r="H292" s="99" t="s">
        <v>682</v>
      </c>
      <c r="I292" s="74"/>
      <c r="J292" s="74"/>
      <c r="K292" s="271">
        <f t="shared" si="44"/>
        <v>0</v>
      </c>
      <c r="L292" s="74"/>
      <c r="M292" s="74"/>
    </row>
    <row r="293" spans="1:13" s="268" customFormat="1" ht="15">
      <c r="A293" s="109" t="s">
        <v>636</v>
      </c>
      <c r="B293" s="270">
        <v>110</v>
      </c>
      <c r="C293" s="100" t="s">
        <v>68</v>
      </c>
      <c r="D293" s="99" t="s">
        <v>425</v>
      </c>
      <c r="E293" s="99" t="s">
        <v>329</v>
      </c>
      <c r="F293" s="99" t="s">
        <v>147</v>
      </c>
      <c r="G293" s="99" t="s">
        <v>635</v>
      </c>
      <c r="H293" s="99"/>
      <c r="I293" s="74">
        <f>I294</f>
        <v>800</v>
      </c>
      <c r="J293" s="74">
        <f>J294</f>
        <v>800</v>
      </c>
      <c r="K293" s="271">
        <f t="shared" si="44"/>
        <v>0</v>
      </c>
      <c r="L293" s="74">
        <f>L294</f>
        <v>400</v>
      </c>
      <c r="M293" s="74">
        <f>M294</f>
        <v>400</v>
      </c>
    </row>
    <row r="294" spans="1:13" s="269" customFormat="1" ht="30">
      <c r="A294" s="109" t="s">
        <v>683</v>
      </c>
      <c r="B294" s="270">
        <v>110</v>
      </c>
      <c r="C294" s="100" t="s">
        <v>68</v>
      </c>
      <c r="D294" s="99" t="s">
        <v>425</v>
      </c>
      <c r="E294" s="99" t="s">
        <v>329</v>
      </c>
      <c r="F294" s="99" t="s">
        <v>147</v>
      </c>
      <c r="G294" s="99" t="s">
        <v>635</v>
      </c>
      <c r="H294" s="99" t="s">
        <v>682</v>
      </c>
      <c r="I294" s="74">
        <v>800</v>
      </c>
      <c r="J294" s="74">
        <v>800</v>
      </c>
      <c r="K294" s="271">
        <f t="shared" si="44"/>
        <v>0</v>
      </c>
      <c r="L294" s="74">
        <v>400</v>
      </c>
      <c r="M294" s="74">
        <v>400</v>
      </c>
    </row>
    <row r="295" spans="1:13" s="269" customFormat="1" ht="15">
      <c r="A295" s="140" t="s">
        <v>485</v>
      </c>
      <c r="B295" s="266" t="s">
        <v>23</v>
      </c>
      <c r="C295" s="95" t="s">
        <v>70</v>
      </c>
      <c r="D295" s="67"/>
      <c r="E295" s="67"/>
      <c r="F295" s="67"/>
      <c r="G295" s="67"/>
      <c r="H295" s="67"/>
      <c r="I295" s="36">
        <f>I296+I313+I348+I363</f>
        <v>11875.1</v>
      </c>
      <c r="J295" s="36">
        <f>J296+J313+J348+J363</f>
        <v>32434.4</v>
      </c>
      <c r="K295" s="267">
        <f>J295-I295</f>
        <v>20559.300000000003</v>
      </c>
      <c r="L295" s="36">
        <f>L296+L313+L348+L363</f>
        <v>8566</v>
      </c>
      <c r="M295" s="36">
        <f>M296+M313+M348+M363</f>
        <v>12694.8</v>
      </c>
    </row>
    <row r="296" spans="1:13" s="269" customFormat="1" ht="15">
      <c r="A296" s="281" t="s">
        <v>71</v>
      </c>
      <c r="B296" s="266">
        <v>110</v>
      </c>
      <c r="C296" s="95" t="s">
        <v>72</v>
      </c>
      <c r="D296" s="67"/>
      <c r="E296" s="67"/>
      <c r="F296" s="67"/>
      <c r="G296" s="67"/>
      <c r="H296" s="67"/>
      <c r="I296" s="36">
        <f>I302+I297</f>
        <v>2224.4</v>
      </c>
      <c r="J296" s="36">
        <f>J302+J297</f>
        <v>2224.4</v>
      </c>
      <c r="K296" s="267">
        <f>J296-I296</f>
        <v>0</v>
      </c>
      <c r="L296" s="36">
        <f>L302+L297</f>
        <v>2404</v>
      </c>
      <c r="M296" s="36">
        <f>M302+M297</f>
        <v>6800</v>
      </c>
    </row>
    <row r="297" spans="1:13" s="268" customFormat="1" ht="71.25">
      <c r="A297" s="127" t="s">
        <v>834</v>
      </c>
      <c r="B297" s="266">
        <v>110</v>
      </c>
      <c r="C297" s="95" t="s">
        <v>72</v>
      </c>
      <c r="D297" s="67" t="s">
        <v>147</v>
      </c>
      <c r="E297" s="67" t="s">
        <v>148</v>
      </c>
      <c r="F297" s="67" t="s">
        <v>149</v>
      </c>
      <c r="G297" s="67" t="s">
        <v>150</v>
      </c>
      <c r="H297" s="67"/>
      <c r="I297" s="36">
        <f aca="true" t="shared" si="45" ref="I297:M300">I298</f>
        <v>0</v>
      </c>
      <c r="J297" s="36">
        <f t="shared" si="45"/>
        <v>0</v>
      </c>
      <c r="K297" s="267">
        <f aca="true" t="shared" si="46" ref="K297:K304">J297-I297</f>
        <v>0</v>
      </c>
      <c r="L297" s="36">
        <f t="shared" si="45"/>
        <v>1290</v>
      </c>
      <c r="M297" s="36">
        <f t="shared" si="45"/>
        <v>5621</v>
      </c>
    </row>
    <row r="298" spans="1:13" s="268" customFormat="1" ht="31.5" customHeight="1">
      <c r="A298" s="124" t="s">
        <v>151</v>
      </c>
      <c r="B298" s="266">
        <v>110</v>
      </c>
      <c r="C298" s="95" t="s">
        <v>72</v>
      </c>
      <c r="D298" s="67" t="s">
        <v>147</v>
      </c>
      <c r="E298" s="67" t="s">
        <v>131</v>
      </c>
      <c r="F298" s="67" t="s">
        <v>149</v>
      </c>
      <c r="G298" s="67" t="s">
        <v>150</v>
      </c>
      <c r="H298" s="67"/>
      <c r="I298" s="36">
        <f t="shared" si="45"/>
        <v>0</v>
      </c>
      <c r="J298" s="36">
        <f t="shared" si="45"/>
        <v>0</v>
      </c>
      <c r="K298" s="267">
        <f t="shared" si="46"/>
        <v>0</v>
      </c>
      <c r="L298" s="36">
        <f t="shared" si="45"/>
        <v>1290</v>
      </c>
      <c r="M298" s="36">
        <f t="shared" si="45"/>
        <v>5621</v>
      </c>
    </row>
    <row r="299" spans="1:13" s="268" customFormat="1" ht="42.75">
      <c r="A299" s="124" t="s">
        <v>750</v>
      </c>
      <c r="B299" s="266">
        <v>110</v>
      </c>
      <c r="C299" s="95" t="s">
        <v>72</v>
      </c>
      <c r="D299" s="67" t="s">
        <v>147</v>
      </c>
      <c r="E299" s="67" t="s">
        <v>131</v>
      </c>
      <c r="F299" s="67" t="s">
        <v>147</v>
      </c>
      <c r="G299" s="67" t="s">
        <v>150</v>
      </c>
      <c r="H299" s="67"/>
      <c r="I299" s="36">
        <f t="shared" si="45"/>
        <v>0</v>
      </c>
      <c r="J299" s="36">
        <f t="shared" si="45"/>
        <v>0</v>
      </c>
      <c r="K299" s="267">
        <f t="shared" si="46"/>
        <v>0</v>
      </c>
      <c r="L299" s="36">
        <f t="shared" si="45"/>
        <v>1290</v>
      </c>
      <c r="M299" s="36">
        <f t="shared" si="45"/>
        <v>5621</v>
      </c>
    </row>
    <row r="300" spans="1:13" s="269" customFormat="1" ht="45">
      <c r="A300" s="115" t="s">
        <v>831</v>
      </c>
      <c r="B300" s="270">
        <v>110</v>
      </c>
      <c r="C300" s="100" t="s">
        <v>72</v>
      </c>
      <c r="D300" s="99" t="s">
        <v>147</v>
      </c>
      <c r="E300" s="99" t="s">
        <v>131</v>
      </c>
      <c r="F300" s="99" t="s">
        <v>147</v>
      </c>
      <c r="G300" s="99" t="s">
        <v>807</v>
      </c>
      <c r="H300" s="99"/>
      <c r="I300" s="74">
        <f t="shared" si="45"/>
        <v>0</v>
      </c>
      <c r="J300" s="74">
        <f t="shared" si="45"/>
        <v>0</v>
      </c>
      <c r="K300" s="271">
        <f t="shared" si="46"/>
        <v>0</v>
      </c>
      <c r="L300" s="74">
        <f t="shared" si="45"/>
        <v>1290</v>
      </c>
      <c r="M300" s="74">
        <f t="shared" si="45"/>
        <v>5621</v>
      </c>
    </row>
    <row r="301" spans="1:13" s="269" customFormat="1" ht="15">
      <c r="A301" s="112" t="s">
        <v>690</v>
      </c>
      <c r="B301" s="270">
        <v>110</v>
      </c>
      <c r="C301" s="100" t="s">
        <v>72</v>
      </c>
      <c r="D301" s="99" t="s">
        <v>147</v>
      </c>
      <c r="E301" s="99" t="s">
        <v>131</v>
      </c>
      <c r="F301" s="99" t="s">
        <v>147</v>
      </c>
      <c r="G301" s="99" t="s">
        <v>807</v>
      </c>
      <c r="H301" s="99" t="s">
        <v>691</v>
      </c>
      <c r="I301" s="74">
        <f>1750-1750</f>
        <v>0</v>
      </c>
      <c r="J301" s="74">
        <f>1750-1750</f>
        <v>0</v>
      </c>
      <c r="K301" s="271">
        <f t="shared" si="46"/>
        <v>0</v>
      </c>
      <c r="L301" s="74">
        <v>1290</v>
      </c>
      <c r="M301" s="74">
        <f>1800+3821</f>
        <v>5621</v>
      </c>
    </row>
    <row r="302" spans="1:13" s="269" customFormat="1" ht="15">
      <c r="A302" s="127" t="s">
        <v>424</v>
      </c>
      <c r="B302" s="266">
        <v>110</v>
      </c>
      <c r="C302" s="95" t="s">
        <v>72</v>
      </c>
      <c r="D302" s="67" t="s">
        <v>425</v>
      </c>
      <c r="E302" s="67" t="s">
        <v>148</v>
      </c>
      <c r="F302" s="67" t="s">
        <v>149</v>
      </c>
      <c r="G302" s="67" t="s">
        <v>150</v>
      </c>
      <c r="H302" s="67"/>
      <c r="I302" s="36">
        <f aca="true" t="shared" si="47" ref="I302:M303">I303</f>
        <v>2224.4</v>
      </c>
      <c r="J302" s="36">
        <f t="shared" si="47"/>
        <v>2224.4</v>
      </c>
      <c r="K302" s="267">
        <f t="shared" si="46"/>
        <v>0</v>
      </c>
      <c r="L302" s="36">
        <f t="shared" si="47"/>
        <v>1114</v>
      </c>
      <c r="M302" s="36">
        <f t="shared" si="47"/>
        <v>1179</v>
      </c>
    </row>
    <row r="303" spans="1:13" s="269" customFormat="1" ht="15">
      <c r="A303" s="124" t="s">
        <v>399</v>
      </c>
      <c r="B303" s="266">
        <v>110</v>
      </c>
      <c r="C303" s="95" t="s">
        <v>72</v>
      </c>
      <c r="D303" s="67" t="s">
        <v>425</v>
      </c>
      <c r="E303" s="67" t="s">
        <v>329</v>
      </c>
      <c r="F303" s="67" t="s">
        <v>149</v>
      </c>
      <c r="G303" s="67" t="s">
        <v>150</v>
      </c>
      <c r="H303" s="67"/>
      <c r="I303" s="36">
        <f t="shared" si="47"/>
        <v>2224.4</v>
      </c>
      <c r="J303" s="36">
        <f t="shared" si="47"/>
        <v>2224.4</v>
      </c>
      <c r="K303" s="267">
        <f t="shared" si="46"/>
        <v>0</v>
      </c>
      <c r="L303" s="36">
        <f t="shared" si="47"/>
        <v>1114</v>
      </c>
      <c r="M303" s="36">
        <f t="shared" si="47"/>
        <v>1179</v>
      </c>
    </row>
    <row r="304" spans="1:13" s="269" customFormat="1" ht="15">
      <c r="A304" s="109" t="s">
        <v>399</v>
      </c>
      <c r="B304" s="266">
        <v>110</v>
      </c>
      <c r="C304" s="95" t="s">
        <v>72</v>
      </c>
      <c r="D304" s="67" t="s">
        <v>425</v>
      </c>
      <c r="E304" s="67" t="s">
        <v>329</v>
      </c>
      <c r="F304" s="67" t="s">
        <v>147</v>
      </c>
      <c r="G304" s="67" t="s">
        <v>150</v>
      </c>
      <c r="H304" s="67"/>
      <c r="I304" s="36">
        <f>I305+I307+I311+I309</f>
        <v>2224.4</v>
      </c>
      <c r="J304" s="36">
        <f>J305+J307+J311+J309</f>
        <v>2224.4</v>
      </c>
      <c r="K304" s="267">
        <f t="shared" si="46"/>
        <v>0</v>
      </c>
      <c r="L304" s="36">
        <f>L305+L307+L311+L309</f>
        <v>1114</v>
      </c>
      <c r="M304" s="36">
        <f>M305+M307+M311+M309</f>
        <v>1179</v>
      </c>
    </row>
    <row r="305" spans="1:13" s="269" customFormat="1" ht="45">
      <c r="A305" s="109" t="s">
        <v>517</v>
      </c>
      <c r="B305" s="270">
        <v>110</v>
      </c>
      <c r="C305" s="100" t="s">
        <v>72</v>
      </c>
      <c r="D305" s="99" t="s">
        <v>425</v>
      </c>
      <c r="E305" s="99" t="s">
        <v>329</v>
      </c>
      <c r="F305" s="99" t="s">
        <v>147</v>
      </c>
      <c r="G305" s="99" t="s">
        <v>515</v>
      </c>
      <c r="H305" s="99"/>
      <c r="I305" s="74">
        <f>I306</f>
        <v>2193</v>
      </c>
      <c r="J305" s="74">
        <f>J306</f>
        <v>2193</v>
      </c>
      <c r="K305" s="271">
        <f aca="true" t="shared" si="48" ref="K305:K313">J305-I305</f>
        <v>0</v>
      </c>
      <c r="L305" s="74">
        <f>L306</f>
        <v>1092</v>
      </c>
      <c r="M305" s="74">
        <f>M306</f>
        <v>1155</v>
      </c>
    </row>
    <row r="306" spans="1:13" s="269" customFormat="1" ht="30">
      <c r="A306" s="109" t="s">
        <v>683</v>
      </c>
      <c r="B306" s="270">
        <v>110</v>
      </c>
      <c r="C306" s="100" t="s">
        <v>72</v>
      </c>
      <c r="D306" s="99" t="s">
        <v>425</v>
      </c>
      <c r="E306" s="99" t="s">
        <v>329</v>
      </c>
      <c r="F306" s="99" t="s">
        <v>147</v>
      </c>
      <c r="G306" s="99" t="s">
        <v>515</v>
      </c>
      <c r="H306" s="99" t="s">
        <v>682</v>
      </c>
      <c r="I306" s="74">
        <f>1033+1160</f>
        <v>2193</v>
      </c>
      <c r="J306" s="74">
        <f>1033+1160</f>
        <v>2193</v>
      </c>
      <c r="K306" s="271">
        <f t="shared" si="48"/>
        <v>0</v>
      </c>
      <c r="L306" s="74">
        <v>1092</v>
      </c>
      <c r="M306" s="74">
        <v>1155</v>
      </c>
    </row>
    <row r="307" spans="1:13" s="269" customFormat="1" ht="18.75" customHeight="1">
      <c r="A307" s="109" t="s">
        <v>518</v>
      </c>
      <c r="B307" s="270">
        <v>110</v>
      </c>
      <c r="C307" s="100" t="s">
        <v>72</v>
      </c>
      <c r="D307" s="99" t="s">
        <v>425</v>
      </c>
      <c r="E307" s="99" t="s">
        <v>329</v>
      </c>
      <c r="F307" s="99" t="s">
        <v>147</v>
      </c>
      <c r="G307" s="99" t="s">
        <v>516</v>
      </c>
      <c r="H307" s="99"/>
      <c r="I307" s="74">
        <f>I308</f>
        <v>20</v>
      </c>
      <c r="J307" s="74">
        <f>J308</f>
        <v>20</v>
      </c>
      <c r="K307" s="271">
        <f t="shared" si="48"/>
        <v>0</v>
      </c>
      <c r="L307" s="74">
        <f>L308</f>
        <v>22</v>
      </c>
      <c r="M307" s="74">
        <f>M308</f>
        <v>24</v>
      </c>
    </row>
    <row r="308" spans="1:13" s="268" customFormat="1" ht="30">
      <c r="A308" s="109" t="s">
        <v>683</v>
      </c>
      <c r="B308" s="270">
        <v>110</v>
      </c>
      <c r="C308" s="100" t="s">
        <v>72</v>
      </c>
      <c r="D308" s="99" t="s">
        <v>425</v>
      </c>
      <c r="E308" s="99" t="s">
        <v>329</v>
      </c>
      <c r="F308" s="99" t="s">
        <v>147</v>
      </c>
      <c r="G308" s="99" t="s">
        <v>516</v>
      </c>
      <c r="H308" s="99" t="s">
        <v>682</v>
      </c>
      <c r="I308" s="74">
        <v>20</v>
      </c>
      <c r="J308" s="74">
        <v>20</v>
      </c>
      <c r="K308" s="271">
        <f t="shared" si="48"/>
        <v>0</v>
      </c>
      <c r="L308" s="74">
        <v>22</v>
      </c>
      <c r="M308" s="74">
        <v>24</v>
      </c>
    </row>
    <row r="309" spans="1:13" s="268" customFormat="1" ht="15">
      <c r="A309" s="109" t="s">
        <v>1101</v>
      </c>
      <c r="B309" s="270">
        <v>110</v>
      </c>
      <c r="C309" s="100" t="s">
        <v>72</v>
      </c>
      <c r="D309" s="99" t="s">
        <v>425</v>
      </c>
      <c r="E309" s="99" t="s">
        <v>329</v>
      </c>
      <c r="F309" s="99" t="s">
        <v>147</v>
      </c>
      <c r="G309" s="99" t="s">
        <v>1102</v>
      </c>
      <c r="H309" s="99"/>
      <c r="I309" s="74">
        <f>I310</f>
        <v>11.4</v>
      </c>
      <c r="J309" s="74">
        <f>J310</f>
        <v>11.4</v>
      </c>
      <c r="K309" s="271">
        <f t="shared" si="48"/>
        <v>0</v>
      </c>
      <c r="L309" s="74">
        <f>L310</f>
        <v>0</v>
      </c>
      <c r="M309" s="74">
        <f>M310</f>
        <v>0</v>
      </c>
    </row>
    <row r="310" spans="1:13" s="268" customFormat="1" ht="30">
      <c r="A310" s="109" t="s">
        <v>683</v>
      </c>
      <c r="B310" s="270">
        <v>110</v>
      </c>
      <c r="C310" s="100" t="s">
        <v>72</v>
      </c>
      <c r="D310" s="99" t="s">
        <v>425</v>
      </c>
      <c r="E310" s="99" t="s">
        <v>329</v>
      </c>
      <c r="F310" s="99" t="s">
        <v>147</v>
      </c>
      <c r="G310" s="99" t="s">
        <v>1102</v>
      </c>
      <c r="H310" s="99" t="s">
        <v>682</v>
      </c>
      <c r="I310" s="74">
        <v>11.4</v>
      </c>
      <c r="J310" s="74">
        <v>11.4</v>
      </c>
      <c r="K310" s="271">
        <f>J310-I310</f>
        <v>0</v>
      </c>
      <c r="L310" s="74"/>
      <c r="M310" s="74"/>
    </row>
    <row r="311" spans="1:13" s="268" customFormat="1" ht="37.5" customHeight="1" hidden="1">
      <c r="A311" s="112" t="s">
        <v>461</v>
      </c>
      <c r="B311" s="270">
        <v>110</v>
      </c>
      <c r="C311" s="100" t="s">
        <v>72</v>
      </c>
      <c r="D311" s="99" t="s">
        <v>425</v>
      </c>
      <c r="E311" s="99" t="s">
        <v>329</v>
      </c>
      <c r="F311" s="99" t="s">
        <v>147</v>
      </c>
      <c r="G311" s="99" t="s">
        <v>462</v>
      </c>
      <c r="H311" s="99"/>
      <c r="I311" s="74"/>
      <c r="J311" s="74">
        <f>J312</f>
        <v>0</v>
      </c>
      <c r="K311" s="271">
        <f t="shared" si="48"/>
        <v>0</v>
      </c>
      <c r="L311" s="74">
        <f>L312</f>
        <v>0</v>
      </c>
      <c r="M311" s="74">
        <f>M312</f>
        <v>0</v>
      </c>
    </row>
    <row r="312" spans="1:13" s="268" customFormat="1" ht="24.75" customHeight="1" hidden="1">
      <c r="A312" s="112" t="s">
        <v>690</v>
      </c>
      <c r="B312" s="270">
        <v>110</v>
      </c>
      <c r="C312" s="100" t="s">
        <v>72</v>
      </c>
      <c r="D312" s="99" t="s">
        <v>425</v>
      </c>
      <c r="E312" s="99" t="s">
        <v>329</v>
      </c>
      <c r="F312" s="99" t="s">
        <v>147</v>
      </c>
      <c r="G312" s="99" t="s">
        <v>462</v>
      </c>
      <c r="H312" s="99" t="s">
        <v>691</v>
      </c>
      <c r="I312" s="74"/>
      <c r="J312" s="74"/>
      <c r="K312" s="271">
        <f t="shared" si="48"/>
        <v>0</v>
      </c>
      <c r="L312" s="74"/>
      <c r="M312" s="74"/>
    </row>
    <row r="313" spans="1:13" s="268" customFormat="1" ht="14.25">
      <c r="A313" s="281" t="s">
        <v>73</v>
      </c>
      <c r="B313" s="266">
        <v>110</v>
      </c>
      <c r="C313" s="95" t="s">
        <v>74</v>
      </c>
      <c r="D313" s="67"/>
      <c r="E313" s="67"/>
      <c r="F313" s="67"/>
      <c r="G313" s="67"/>
      <c r="H313" s="67"/>
      <c r="I313" s="36">
        <f>I314+I341</f>
        <v>4192.1</v>
      </c>
      <c r="J313" s="36">
        <f>J314+J341</f>
        <v>24594</v>
      </c>
      <c r="K313" s="267">
        <f t="shared" si="48"/>
        <v>20401.9</v>
      </c>
      <c r="L313" s="36">
        <f>L314+L341</f>
        <v>1301.2</v>
      </c>
      <c r="M313" s="36">
        <f>M314+M341</f>
        <v>845</v>
      </c>
    </row>
    <row r="314" spans="1:13" s="268" customFormat="1" ht="71.25">
      <c r="A314" s="127" t="s">
        <v>834</v>
      </c>
      <c r="B314" s="266">
        <v>110</v>
      </c>
      <c r="C314" s="95" t="s">
        <v>74</v>
      </c>
      <c r="D314" s="67" t="s">
        <v>147</v>
      </c>
      <c r="E314" s="67" t="s">
        <v>148</v>
      </c>
      <c r="F314" s="67" t="s">
        <v>149</v>
      </c>
      <c r="G314" s="67" t="s">
        <v>150</v>
      </c>
      <c r="H314" s="67"/>
      <c r="I314" s="36">
        <f>I322+I315+I333</f>
        <v>2692.1</v>
      </c>
      <c r="J314" s="36">
        <f>J322+J315+J333</f>
        <v>2692.1</v>
      </c>
      <c r="K314" s="267">
        <f>K322+K315+K333</f>
        <v>0</v>
      </c>
      <c r="L314" s="36">
        <f>L322+L315+L333</f>
        <v>1301.2</v>
      </c>
      <c r="M314" s="36">
        <f>M322+M315+M333</f>
        <v>845</v>
      </c>
    </row>
    <row r="315" spans="1:13" s="268" customFormat="1" ht="36" customHeight="1" hidden="1">
      <c r="A315" s="97" t="s">
        <v>151</v>
      </c>
      <c r="B315" s="266">
        <v>110</v>
      </c>
      <c r="C315" s="95" t="s">
        <v>74</v>
      </c>
      <c r="D315" s="67" t="s">
        <v>147</v>
      </c>
      <c r="E315" s="67" t="s">
        <v>131</v>
      </c>
      <c r="F315" s="67" t="s">
        <v>149</v>
      </c>
      <c r="G315" s="67" t="s">
        <v>150</v>
      </c>
      <c r="H315" s="67"/>
      <c r="I315" s="36">
        <f aca="true" t="shared" si="49" ref="I315:M317">I316</f>
        <v>0</v>
      </c>
      <c r="J315" s="36">
        <f t="shared" si="49"/>
        <v>0</v>
      </c>
      <c r="K315" s="36">
        <f t="shared" si="49"/>
        <v>0</v>
      </c>
      <c r="L315" s="36">
        <f t="shared" si="49"/>
        <v>0</v>
      </c>
      <c r="M315" s="36">
        <f t="shared" si="49"/>
        <v>0</v>
      </c>
    </row>
    <row r="316" spans="1:13" s="268" customFormat="1" ht="43.5" customHeight="1" hidden="1">
      <c r="A316" s="97" t="s">
        <v>750</v>
      </c>
      <c r="B316" s="266">
        <v>110</v>
      </c>
      <c r="C316" s="95" t="s">
        <v>74</v>
      </c>
      <c r="D316" s="67" t="s">
        <v>147</v>
      </c>
      <c r="E316" s="67" t="s">
        <v>131</v>
      </c>
      <c r="F316" s="67" t="s">
        <v>147</v>
      </c>
      <c r="G316" s="67" t="s">
        <v>150</v>
      </c>
      <c r="H316" s="67"/>
      <c r="I316" s="36">
        <f>I317+I319</f>
        <v>0</v>
      </c>
      <c r="J316" s="36">
        <f>J317+J319</f>
        <v>0</v>
      </c>
      <c r="K316" s="267">
        <f>J316-I316</f>
        <v>0</v>
      </c>
      <c r="L316" s="36">
        <f>L317+L320</f>
        <v>0</v>
      </c>
      <c r="M316" s="36">
        <f>M317+M320</f>
        <v>0</v>
      </c>
    </row>
    <row r="317" spans="1:13" s="268" customFormat="1" ht="32.25" customHeight="1" hidden="1">
      <c r="A317" s="319" t="s">
        <v>796</v>
      </c>
      <c r="B317" s="270">
        <v>110</v>
      </c>
      <c r="C317" s="100" t="s">
        <v>74</v>
      </c>
      <c r="D317" s="99" t="s">
        <v>147</v>
      </c>
      <c r="E317" s="99" t="s">
        <v>131</v>
      </c>
      <c r="F317" s="99" t="s">
        <v>147</v>
      </c>
      <c r="G317" s="99" t="s">
        <v>152</v>
      </c>
      <c r="H317" s="99"/>
      <c r="I317" s="74">
        <f t="shared" si="49"/>
        <v>0</v>
      </c>
      <c r="J317" s="74">
        <f t="shared" si="49"/>
        <v>0</v>
      </c>
      <c r="K317" s="271">
        <f>J317-I317</f>
        <v>0</v>
      </c>
      <c r="L317" s="74">
        <f t="shared" si="49"/>
        <v>0</v>
      </c>
      <c r="M317" s="74">
        <f t="shared" si="49"/>
        <v>0</v>
      </c>
    </row>
    <row r="318" spans="1:13" s="268" customFormat="1" ht="18.75" customHeight="1" hidden="1">
      <c r="A318" s="111" t="s">
        <v>692</v>
      </c>
      <c r="B318" s="270">
        <v>110</v>
      </c>
      <c r="C318" s="100" t="s">
        <v>74</v>
      </c>
      <c r="D318" s="99" t="s">
        <v>147</v>
      </c>
      <c r="E318" s="99" t="s">
        <v>131</v>
      </c>
      <c r="F318" s="99" t="s">
        <v>147</v>
      </c>
      <c r="G318" s="99" t="s">
        <v>152</v>
      </c>
      <c r="H318" s="99" t="s">
        <v>691</v>
      </c>
      <c r="I318" s="74"/>
      <c r="J318" s="74"/>
      <c r="K318" s="271">
        <f>J318-I318</f>
        <v>0</v>
      </c>
      <c r="L318" s="74"/>
      <c r="M318" s="74"/>
    </row>
    <row r="319" spans="1:13" s="268" customFormat="1" ht="51.75" customHeight="1" hidden="1">
      <c r="A319" s="97" t="s">
        <v>769</v>
      </c>
      <c r="B319" s="266">
        <v>110</v>
      </c>
      <c r="C319" s="95" t="s">
        <v>74</v>
      </c>
      <c r="D319" s="67" t="s">
        <v>147</v>
      </c>
      <c r="E319" s="67" t="s">
        <v>131</v>
      </c>
      <c r="F319" s="67" t="s">
        <v>160</v>
      </c>
      <c r="G319" s="67" t="s">
        <v>150</v>
      </c>
      <c r="H319" s="67"/>
      <c r="I319" s="36">
        <f>I320</f>
        <v>0</v>
      </c>
      <c r="J319" s="36">
        <f>J320</f>
        <v>0</v>
      </c>
      <c r="K319" s="36">
        <f>K320</f>
        <v>0</v>
      </c>
      <c r="L319" s="36">
        <f>L320</f>
        <v>0</v>
      </c>
      <c r="M319" s="36">
        <f>M320</f>
        <v>0</v>
      </c>
    </row>
    <row r="320" spans="1:13" s="268" customFormat="1" ht="33.75" customHeight="1" hidden="1">
      <c r="A320" s="102" t="s">
        <v>798</v>
      </c>
      <c r="B320" s="270">
        <v>110</v>
      </c>
      <c r="C320" s="100" t="s">
        <v>74</v>
      </c>
      <c r="D320" s="99" t="s">
        <v>147</v>
      </c>
      <c r="E320" s="99" t="s">
        <v>131</v>
      </c>
      <c r="F320" s="99" t="s">
        <v>160</v>
      </c>
      <c r="G320" s="99" t="s">
        <v>811</v>
      </c>
      <c r="H320" s="99"/>
      <c r="I320" s="74">
        <f>I321</f>
        <v>0</v>
      </c>
      <c r="J320" s="74">
        <f>J321</f>
        <v>0</v>
      </c>
      <c r="K320" s="271">
        <f>J320-I320</f>
        <v>0</v>
      </c>
      <c r="L320" s="74">
        <f>L321</f>
        <v>0</v>
      </c>
      <c r="M320" s="74">
        <f>M321</f>
        <v>0</v>
      </c>
    </row>
    <row r="321" spans="1:13" s="268" customFormat="1" ht="18" customHeight="1" hidden="1">
      <c r="A321" s="102" t="s">
        <v>692</v>
      </c>
      <c r="B321" s="270">
        <v>110</v>
      </c>
      <c r="C321" s="100" t="s">
        <v>74</v>
      </c>
      <c r="D321" s="99" t="s">
        <v>147</v>
      </c>
      <c r="E321" s="99" t="s">
        <v>131</v>
      </c>
      <c r="F321" s="99" t="s">
        <v>160</v>
      </c>
      <c r="G321" s="99" t="s">
        <v>811</v>
      </c>
      <c r="H321" s="99" t="s">
        <v>691</v>
      </c>
      <c r="I321" s="74"/>
      <c r="J321" s="74"/>
      <c r="K321" s="271">
        <f>J321-I321</f>
        <v>0</v>
      </c>
      <c r="L321" s="74"/>
      <c r="M321" s="74"/>
    </row>
    <row r="322" spans="1:13" s="268" customFormat="1" ht="22.5" customHeight="1">
      <c r="A322" s="97" t="s">
        <v>751</v>
      </c>
      <c r="B322" s="266">
        <v>110</v>
      </c>
      <c r="C322" s="95" t="s">
        <v>74</v>
      </c>
      <c r="D322" s="67" t="s">
        <v>147</v>
      </c>
      <c r="E322" s="67" t="s">
        <v>132</v>
      </c>
      <c r="F322" s="67" t="s">
        <v>149</v>
      </c>
      <c r="G322" s="67" t="s">
        <v>150</v>
      </c>
      <c r="H322" s="67"/>
      <c r="I322" s="36">
        <f>I323</f>
        <v>2607.1</v>
      </c>
      <c r="J322" s="36">
        <f>J323</f>
        <v>2607.1</v>
      </c>
      <c r="K322" s="267">
        <f>J322-I322</f>
        <v>0</v>
      </c>
      <c r="L322" s="36">
        <f>L323</f>
        <v>1028.2</v>
      </c>
      <c r="M322" s="36">
        <f>M323</f>
        <v>550</v>
      </c>
    </row>
    <row r="323" spans="1:13" s="268" customFormat="1" ht="42.75">
      <c r="A323" s="105" t="s">
        <v>752</v>
      </c>
      <c r="B323" s="266">
        <v>110</v>
      </c>
      <c r="C323" s="95" t="s">
        <v>74</v>
      </c>
      <c r="D323" s="67" t="s">
        <v>147</v>
      </c>
      <c r="E323" s="67" t="s">
        <v>132</v>
      </c>
      <c r="F323" s="67" t="s">
        <v>147</v>
      </c>
      <c r="G323" s="67" t="s">
        <v>150</v>
      </c>
      <c r="H323" s="67"/>
      <c r="I323" s="36">
        <f>I326+I329+I324+I331</f>
        <v>2607.1</v>
      </c>
      <c r="J323" s="36">
        <f>J326+J329+J324+J331</f>
        <v>2607.1</v>
      </c>
      <c r="K323" s="267">
        <f>K326+K329+K324+K331</f>
        <v>0</v>
      </c>
      <c r="L323" s="36">
        <f>L326+L329+L324+L331</f>
        <v>1028.2</v>
      </c>
      <c r="M323" s="36">
        <f>M326+M329+M324+M331</f>
        <v>550</v>
      </c>
    </row>
    <row r="324" spans="1:13" s="268" customFormat="1" ht="45">
      <c r="A324" s="320" t="s">
        <v>525</v>
      </c>
      <c r="B324" s="270">
        <v>110</v>
      </c>
      <c r="C324" s="100" t="s">
        <v>74</v>
      </c>
      <c r="D324" s="99" t="s">
        <v>147</v>
      </c>
      <c r="E324" s="99" t="s">
        <v>132</v>
      </c>
      <c r="F324" s="99" t="s">
        <v>147</v>
      </c>
      <c r="G324" s="99" t="s">
        <v>524</v>
      </c>
      <c r="H324" s="99"/>
      <c r="I324" s="74">
        <f>I325</f>
        <v>150</v>
      </c>
      <c r="J324" s="74">
        <f>J325</f>
        <v>150</v>
      </c>
      <c r="K324" s="271">
        <f aca="true" t="shared" si="50" ref="K324:K330">J324-I324</f>
        <v>0</v>
      </c>
      <c r="L324" s="74">
        <f>L325</f>
        <v>728.2</v>
      </c>
      <c r="M324" s="74">
        <f>M325</f>
        <v>550</v>
      </c>
    </row>
    <row r="325" spans="1:13" s="268" customFormat="1" ht="15">
      <c r="A325" s="111" t="s">
        <v>692</v>
      </c>
      <c r="B325" s="270">
        <v>110</v>
      </c>
      <c r="C325" s="100" t="s">
        <v>74</v>
      </c>
      <c r="D325" s="99" t="s">
        <v>147</v>
      </c>
      <c r="E325" s="99" t="s">
        <v>132</v>
      </c>
      <c r="F325" s="99" t="s">
        <v>147</v>
      </c>
      <c r="G325" s="99" t="s">
        <v>524</v>
      </c>
      <c r="H325" s="99" t="s">
        <v>691</v>
      </c>
      <c r="I325" s="74">
        <f>82.9+67.1</f>
        <v>150</v>
      </c>
      <c r="J325" s="74">
        <f>82.9+67.1</f>
        <v>150</v>
      </c>
      <c r="K325" s="271">
        <f t="shared" si="50"/>
        <v>0</v>
      </c>
      <c r="L325" s="74">
        <v>728.2</v>
      </c>
      <c r="M325" s="74">
        <v>550</v>
      </c>
    </row>
    <row r="326" spans="1:13" s="268" customFormat="1" ht="45">
      <c r="A326" s="109" t="s">
        <v>154</v>
      </c>
      <c r="B326" s="270">
        <v>110</v>
      </c>
      <c r="C326" s="100" t="s">
        <v>74</v>
      </c>
      <c r="D326" s="99" t="s">
        <v>147</v>
      </c>
      <c r="E326" s="99" t="s">
        <v>132</v>
      </c>
      <c r="F326" s="99" t="s">
        <v>147</v>
      </c>
      <c r="G326" s="99" t="s">
        <v>155</v>
      </c>
      <c r="H326" s="99"/>
      <c r="I326" s="74">
        <f>I327+I328</f>
        <v>0</v>
      </c>
      <c r="J326" s="74">
        <f>J327+J328</f>
        <v>0</v>
      </c>
      <c r="K326" s="271">
        <f t="shared" si="50"/>
        <v>0</v>
      </c>
      <c r="L326" s="74">
        <f>L327+L328</f>
        <v>300</v>
      </c>
      <c r="M326" s="74">
        <f>M327+M328</f>
        <v>0</v>
      </c>
    </row>
    <row r="327" spans="1:13" s="269" customFormat="1" ht="30">
      <c r="A327" s="109" t="s">
        <v>683</v>
      </c>
      <c r="B327" s="270">
        <v>110</v>
      </c>
      <c r="C327" s="100" t="s">
        <v>74</v>
      </c>
      <c r="D327" s="99" t="s">
        <v>147</v>
      </c>
      <c r="E327" s="99" t="s">
        <v>132</v>
      </c>
      <c r="F327" s="99" t="s">
        <v>147</v>
      </c>
      <c r="G327" s="99" t="s">
        <v>155</v>
      </c>
      <c r="H327" s="99" t="s">
        <v>682</v>
      </c>
      <c r="I327" s="74"/>
      <c r="J327" s="74"/>
      <c r="K327" s="271">
        <f t="shared" si="50"/>
        <v>0</v>
      </c>
      <c r="L327" s="74">
        <v>300</v>
      </c>
      <c r="M327" s="74"/>
    </row>
    <row r="328" spans="1:13" s="268" customFormat="1" ht="35.25" customHeight="1" hidden="1">
      <c r="A328" s="111" t="s">
        <v>692</v>
      </c>
      <c r="B328" s="270">
        <v>110</v>
      </c>
      <c r="C328" s="100" t="s">
        <v>74</v>
      </c>
      <c r="D328" s="99" t="s">
        <v>147</v>
      </c>
      <c r="E328" s="99" t="s">
        <v>132</v>
      </c>
      <c r="F328" s="99" t="s">
        <v>147</v>
      </c>
      <c r="G328" s="99" t="s">
        <v>155</v>
      </c>
      <c r="H328" s="99" t="s">
        <v>691</v>
      </c>
      <c r="I328" s="74"/>
      <c r="J328" s="74"/>
      <c r="K328" s="271">
        <f t="shared" si="50"/>
        <v>0</v>
      </c>
      <c r="L328" s="74"/>
      <c r="M328" s="74"/>
    </row>
    <row r="329" spans="1:13" s="269" customFormat="1" ht="30">
      <c r="A329" s="109" t="s">
        <v>1009</v>
      </c>
      <c r="B329" s="270">
        <v>110</v>
      </c>
      <c r="C329" s="100" t="s">
        <v>74</v>
      </c>
      <c r="D329" s="99" t="s">
        <v>147</v>
      </c>
      <c r="E329" s="99" t="s">
        <v>132</v>
      </c>
      <c r="F329" s="99" t="s">
        <v>147</v>
      </c>
      <c r="G329" s="99" t="s">
        <v>1005</v>
      </c>
      <c r="H329" s="99"/>
      <c r="I329" s="74">
        <f>I330</f>
        <v>2457.1</v>
      </c>
      <c r="J329" s="74">
        <f>J330</f>
        <v>2457.1</v>
      </c>
      <c r="K329" s="271">
        <f t="shared" si="50"/>
        <v>0</v>
      </c>
      <c r="L329" s="74">
        <f>L330</f>
        <v>0</v>
      </c>
      <c r="M329" s="74">
        <f>M330</f>
        <v>0</v>
      </c>
    </row>
    <row r="330" spans="1:13" s="269" customFormat="1" ht="30">
      <c r="A330" s="102" t="s">
        <v>696</v>
      </c>
      <c r="B330" s="270">
        <v>110</v>
      </c>
      <c r="C330" s="100" t="s">
        <v>74</v>
      </c>
      <c r="D330" s="99" t="s">
        <v>147</v>
      </c>
      <c r="E330" s="99" t="s">
        <v>132</v>
      </c>
      <c r="F330" s="99" t="s">
        <v>147</v>
      </c>
      <c r="G330" s="99" t="s">
        <v>1005</v>
      </c>
      <c r="H330" s="99" t="s">
        <v>693</v>
      </c>
      <c r="I330" s="74">
        <f>1500+246+2211.1-1500</f>
        <v>2457.1</v>
      </c>
      <c r="J330" s="74">
        <f>1500+246+2211.1-1500</f>
        <v>2457.1</v>
      </c>
      <c r="K330" s="271">
        <f t="shared" si="50"/>
        <v>0</v>
      </c>
      <c r="L330" s="74"/>
      <c r="M330" s="74"/>
    </row>
    <row r="331" spans="1:13" s="269" customFormat="1" ht="32.25" customHeight="1" hidden="1">
      <c r="A331" s="109" t="s">
        <v>1033</v>
      </c>
      <c r="B331" s="270">
        <v>110</v>
      </c>
      <c r="C331" s="100" t="s">
        <v>74</v>
      </c>
      <c r="D331" s="99" t="s">
        <v>147</v>
      </c>
      <c r="E331" s="99" t="s">
        <v>132</v>
      </c>
      <c r="F331" s="99" t="s">
        <v>147</v>
      </c>
      <c r="G331" s="99" t="s">
        <v>1034</v>
      </c>
      <c r="H331" s="99"/>
      <c r="I331" s="74"/>
      <c r="J331" s="74">
        <f>J332</f>
        <v>0</v>
      </c>
      <c r="K331" s="74">
        <f>K332</f>
        <v>0</v>
      </c>
      <c r="L331" s="74">
        <f>L332</f>
        <v>0</v>
      </c>
      <c r="M331" s="74">
        <f>M332</f>
        <v>0</v>
      </c>
    </row>
    <row r="332" spans="1:13" s="269" customFormat="1" ht="27.75" customHeight="1" hidden="1">
      <c r="A332" s="111" t="s">
        <v>692</v>
      </c>
      <c r="B332" s="270">
        <v>110</v>
      </c>
      <c r="C332" s="100" t="s">
        <v>74</v>
      </c>
      <c r="D332" s="99" t="s">
        <v>147</v>
      </c>
      <c r="E332" s="99" t="s">
        <v>132</v>
      </c>
      <c r="F332" s="99" t="s">
        <v>147</v>
      </c>
      <c r="G332" s="99" t="s">
        <v>1034</v>
      </c>
      <c r="H332" s="99" t="s">
        <v>691</v>
      </c>
      <c r="I332" s="74"/>
      <c r="J332" s="74"/>
      <c r="K332" s="271"/>
      <c r="L332" s="74"/>
      <c r="M332" s="74"/>
    </row>
    <row r="333" spans="1:13" s="268" customFormat="1" ht="28.5">
      <c r="A333" s="125" t="s">
        <v>753</v>
      </c>
      <c r="B333" s="266">
        <v>110</v>
      </c>
      <c r="C333" s="95" t="s">
        <v>74</v>
      </c>
      <c r="D333" s="67" t="s">
        <v>147</v>
      </c>
      <c r="E333" s="67" t="s">
        <v>134</v>
      </c>
      <c r="F333" s="67" t="s">
        <v>149</v>
      </c>
      <c r="G333" s="67" t="s">
        <v>150</v>
      </c>
      <c r="H333" s="67"/>
      <c r="I333" s="36">
        <f>I334</f>
        <v>85</v>
      </c>
      <c r="J333" s="36">
        <f>J334</f>
        <v>85</v>
      </c>
      <c r="K333" s="267">
        <f aca="true" t="shared" si="51" ref="K333:K348">J333-I333</f>
        <v>0</v>
      </c>
      <c r="L333" s="36">
        <f>L334</f>
        <v>273</v>
      </c>
      <c r="M333" s="36">
        <f>M334</f>
        <v>295</v>
      </c>
    </row>
    <row r="334" spans="1:13" s="268" customFormat="1" ht="42.75">
      <c r="A334" s="125" t="s">
        <v>754</v>
      </c>
      <c r="B334" s="266">
        <v>110</v>
      </c>
      <c r="C334" s="95" t="s">
        <v>74</v>
      </c>
      <c r="D334" s="67" t="s">
        <v>147</v>
      </c>
      <c r="E334" s="67" t="s">
        <v>134</v>
      </c>
      <c r="F334" s="67" t="s">
        <v>147</v>
      </c>
      <c r="G334" s="67" t="s">
        <v>150</v>
      </c>
      <c r="H334" s="67"/>
      <c r="I334" s="36">
        <f>I335+I339+I337</f>
        <v>85</v>
      </c>
      <c r="J334" s="36">
        <f>J335+J339+J337</f>
        <v>85</v>
      </c>
      <c r="K334" s="267">
        <f t="shared" si="51"/>
        <v>0</v>
      </c>
      <c r="L334" s="36">
        <f>L335</f>
        <v>273</v>
      </c>
      <c r="M334" s="36">
        <f>M335+M339+M337</f>
        <v>295</v>
      </c>
    </row>
    <row r="335" spans="1:13" s="269" customFormat="1" ht="45">
      <c r="A335" s="111" t="s">
        <v>808</v>
      </c>
      <c r="B335" s="270">
        <v>110</v>
      </c>
      <c r="C335" s="100" t="s">
        <v>74</v>
      </c>
      <c r="D335" s="99" t="s">
        <v>147</v>
      </c>
      <c r="E335" s="99" t="s">
        <v>134</v>
      </c>
      <c r="F335" s="99" t="s">
        <v>147</v>
      </c>
      <c r="G335" s="99" t="s">
        <v>156</v>
      </c>
      <c r="H335" s="99"/>
      <c r="I335" s="74">
        <f>I336</f>
        <v>85</v>
      </c>
      <c r="J335" s="74">
        <f>J336</f>
        <v>85</v>
      </c>
      <c r="K335" s="271">
        <f t="shared" si="51"/>
        <v>0</v>
      </c>
      <c r="L335" s="74">
        <f>L336</f>
        <v>273</v>
      </c>
      <c r="M335" s="74">
        <f>M336</f>
        <v>0</v>
      </c>
    </row>
    <row r="336" spans="1:13" s="269" customFormat="1" ht="15">
      <c r="A336" s="111" t="s">
        <v>692</v>
      </c>
      <c r="B336" s="270">
        <v>110</v>
      </c>
      <c r="C336" s="100" t="s">
        <v>74</v>
      </c>
      <c r="D336" s="99" t="s">
        <v>147</v>
      </c>
      <c r="E336" s="99" t="s">
        <v>134</v>
      </c>
      <c r="F336" s="99" t="s">
        <v>147</v>
      </c>
      <c r="G336" s="99" t="s">
        <v>156</v>
      </c>
      <c r="H336" s="99" t="s">
        <v>691</v>
      </c>
      <c r="I336" s="74">
        <v>85</v>
      </c>
      <c r="J336" s="74">
        <v>85</v>
      </c>
      <c r="K336" s="271">
        <f t="shared" si="51"/>
        <v>0</v>
      </c>
      <c r="L336" s="74">
        <v>273</v>
      </c>
      <c r="M336" s="74"/>
    </row>
    <row r="337" spans="1:13" s="269" customFormat="1" ht="45">
      <c r="A337" s="111" t="s">
        <v>954</v>
      </c>
      <c r="B337" s="270">
        <v>110</v>
      </c>
      <c r="C337" s="100" t="s">
        <v>74</v>
      </c>
      <c r="D337" s="99" t="s">
        <v>147</v>
      </c>
      <c r="E337" s="99" t="s">
        <v>134</v>
      </c>
      <c r="F337" s="99" t="s">
        <v>147</v>
      </c>
      <c r="G337" s="99" t="s">
        <v>953</v>
      </c>
      <c r="H337" s="99"/>
      <c r="I337" s="74">
        <f>I338</f>
        <v>0</v>
      </c>
      <c r="J337" s="74">
        <f>J338</f>
        <v>0</v>
      </c>
      <c r="K337" s="271">
        <f t="shared" si="51"/>
        <v>0</v>
      </c>
      <c r="L337" s="74">
        <f>L338</f>
        <v>0</v>
      </c>
      <c r="M337" s="74">
        <f>M338</f>
        <v>295</v>
      </c>
    </row>
    <row r="338" spans="1:13" s="269" customFormat="1" ht="15">
      <c r="A338" s="111" t="s">
        <v>692</v>
      </c>
      <c r="B338" s="270">
        <v>110</v>
      </c>
      <c r="C338" s="100" t="s">
        <v>74</v>
      </c>
      <c r="D338" s="99" t="s">
        <v>147</v>
      </c>
      <c r="E338" s="99" t="s">
        <v>134</v>
      </c>
      <c r="F338" s="99" t="s">
        <v>147</v>
      </c>
      <c r="G338" s="99" t="s">
        <v>953</v>
      </c>
      <c r="H338" s="99" t="s">
        <v>691</v>
      </c>
      <c r="I338" s="74"/>
      <c r="J338" s="74"/>
      <c r="K338" s="271">
        <f t="shared" si="51"/>
        <v>0</v>
      </c>
      <c r="L338" s="74">
        <f>L339</f>
        <v>0</v>
      </c>
      <c r="M338" s="74">
        <v>295</v>
      </c>
    </row>
    <row r="339" spans="1:13" ht="15" hidden="1">
      <c r="A339" s="112" t="s">
        <v>157</v>
      </c>
      <c r="B339" s="270">
        <v>110</v>
      </c>
      <c r="C339" s="100" t="s">
        <v>74</v>
      </c>
      <c r="D339" s="99" t="s">
        <v>147</v>
      </c>
      <c r="E339" s="99" t="s">
        <v>134</v>
      </c>
      <c r="F339" s="99" t="s">
        <v>147</v>
      </c>
      <c r="G339" s="99" t="s">
        <v>158</v>
      </c>
      <c r="H339" s="99"/>
      <c r="I339" s="74"/>
      <c r="J339" s="74">
        <f>J340</f>
        <v>0</v>
      </c>
      <c r="K339" s="271">
        <f t="shared" si="51"/>
        <v>0</v>
      </c>
      <c r="L339" s="74">
        <f>L340</f>
        <v>0</v>
      </c>
      <c r="M339" s="74">
        <f>M340</f>
        <v>0</v>
      </c>
    </row>
    <row r="340" spans="1:13" ht="23.25" customHeight="1" hidden="1">
      <c r="A340" s="112" t="s">
        <v>690</v>
      </c>
      <c r="B340" s="270">
        <v>110</v>
      </c>
      <c r="C340" s="100" t="s">
        <v>74</v>
      </c>
      <c r="D340" s="99" t="s">
        <v>147</v>
      </c>
      <c r="E340" s="99" t="s">
        <v>134</v>
      </c>
      <c r="F340" s="99" t="s">
        <v>147</v>
      </c>
      <c r="G340" s="99" t="s">
        <v>158</v>
      </c>
      <c r="H340" s="99" t="s">
        <v>691</v>
      </c>
      <c r="I340" s="74"/>
      <c r="J340" s="74"/>
      <c r="K340" s="271">
        <f t="shared" si="51"/>
        <v>0</v>
      </c>
      <c r="L340" s="74"/>
      <c r="M340" s="74"/>
    </row>
    <row r="341" spans="1:13" ht="19.5" customHeight="1">
      <c r="A341" s="127" t="s">
        <v>424</v>
      </c>
      <c r="B341" s="266" t="s">
        <v>23</v>
      </c>
      <c r="C341" s="95" t="s">
        <v>74</v>
      </c>
      <c r="D341" s="95" t="s">
        <v>425</v>
      </c>
      <c r="E341" s="95" t="s">
        <v>148</v>
      </c>
      <c r="F341" s="95" t="s">
        <v>149</v>
      </c>
      <c r="G341" s="67" t="s">
        <v>150</v>
      </c>
      <c r="H341" s="99"/>
      <c r="I341" s="36">
        <f aca="true" t="shared" si="52" ref="I341:J346">I342</f>
        <v>1500</v>
      </c>
      <c r="J341" s="36">
        <f t="shared" si="52"/>
        <v>21901.9</v>
      </c>
      <c r="K341" s="267">
        <f t="shared" si="51"/>
        <v>20401.9</v>
      </c>
      <c r="L341" s="36">
        <f aca="true" t="shared" si="53" ref="L341:M346">L342</f>
        <v>0</v>
      </c>
      <c r="M341" s="36">
        <f t="shared" si="53"/>
        <v>0</v>
      </c>
    </row>
    <row r="342" spans="1:13" ht="17.25" customHeight="1">
      <c r="A342" s="124" t="s">
        <v>399</v>
      </c>
      <c r="B342" s="266" t="s">
        <v>23</v>
      </c>
      <c r="C342" s="95" t="s">
        <v>74</v>
      </c>
      <c r="D342" s="67" t="s">
        <v>425</v>
      </c>
      <c r="E342" s="67" t="s">
        <v>329</v>
      </c>
      <c r="F342" s="67" t="s">
        <v>149</v>
      </c>
      <c r="G342" s="67" t="s">
        <v>150</v>
      </c>
      <c r="H342" s="99"/>
      <c r="I342" s="36">
        <f t="shared" si="52"/>
        <v>1500</v>
      </c>
      <c r="J342" s="36">
        <f t="shared" si="52"/>
        <v>21901.9</v>
      </c>
      <c r="K342" s="267">
        <f t="shared" si="51"/>
        <v>20401.9</v>
      </c>
      <c r="L342" s="36">
        <f t="shared" si="53"/>
        <v>0</v>
      </c>
      <c r="M342" s="36">
        <f t="shared" si="53"/>
        <v>0</v>
      </c>
    </row>
    <row r="343" spans="1:13" ht="15.75" customHeight="1">
      <c r="A343" s="127" t="s">
        <v>399</v>
      </c>
      <c r="B343" s="279" t="s">
        <v>23</v>
      </c>
      <c r="C343" s="326" t="s">
        <v>74</v>
      </c>
      <c r="D343" s="280" t="s">
        <v>425</v>
      </c>
      <c r="E343" s="280" t="s">
        <v>329</v>
      </c>
      <c r="F343" s="280" t="s">
        <v>147</v>
      </c>
      <c r="G343" s="67" t="s">
        <v>150</v>
      </c>
      <c r="H343" s="99"/>
      <c r="I343" s="36">
        <f>I346+I344</f>
        <v>1500</v>
      </c>
      <c r="J343" s="36">
        <f>J346+J344</f>
        <v>21901.9</v>
      </c>
      <c r="K343" s="267">
        <f t="shared" si="51"/>
        <v>20401.9</v>
      </c>
      <c r="L343" s="36">
        <f>L346+L344</f>
        <v>0</v>
      </c>
      <c r="M343" s="36">
        <f>M346+M344</f>
        <v>0</v>
      </c>
    </row>
    <row r="344" spans="1:13" ht="18" customHeight="1">
      <c r="A344" s="111" t="s">
        <v>429</v>
      </c>
      <c r="B344" s="274" t="s">
        <v>23</v>
      </c>
      <c r="C344" s="327" t="s">
        <v>74</v>
      </c>
      <c r="D344" s="130" t="s">
        <v>425</v>
      </c>
      <c r="E344" s="130" t="s">
        <v>329</v>
      </c>
      <c r="F344" s="130" t="s">
        <v>147</v>
      </c>
      <c r="G344" s="99" t="s">
        <v>430</v>
      </c>
      <c r="H344" s="99"/>
      <c r="I344" s="74">
        <f>I345</f>
        <v>0</v>
      </c>
      <c r="J344" s="74">
        <f>J345</f>
        <v>362.5</v>
      </c>
      <c r="K344" s="271">
        <f t="shared" si="51"/>
        <v>362.5</v>
      </c>
      <c r="L344" s="74">
        <f>L345</f>
        <v>0</v>
      </c>
      <c r="M344" s="74">
        <f>M345</f>
        <v>0</v>
      </c>
    </row>
    <row r="345" spans="1:13" ht="34.5" customHeight="1">
      <c r="A345" s="109" t="s">
        <v>683</v>
      </c>
      <c r="B345" s="274" t="s">
        <v>23</v>
      </c>
      <c r="C345" s="327" t="s">
        <v>74</v>
      </c>
      <c r="D345" s="130" t="s">
        <v>425</v>
      </c>
      <c r="E345" s="130" t="s">
        <v>329</v>
      </c>
      <c r="F345" s="130" t="s">
        <v>147</v>
      </c>
      <c r="G345" s="99" t="s">
        <v>430</v>
      </c>
      <c r="H345" s="99" t="s">
        <v>682</v>
      </c>
      <c r="I345" s="74"/>
      <c r="J345" s="74">
        <v>362.5</v>
      </c>
      <c r="K345" s="271">
        <f t="shared" si="51"/>
        <v>362.5</v>
      </c>
      <c r="L345" s="74"/>
      <c r="M345" s="74"/>
    </row>
    <row r="346" spans="1:13" ht="46.5" customHeight="1">
      <c r="A346" s="112" t="s">
        <v>739</v>
      </c>
      <c r="B346" s="274" t="s">
        <v>23</v>
      </c>
      <c r="C346" s="327" t="s">
        <v>74</v>
      </c>
      <c r="D346" s="130" t="s">
        <v>425</v>
      </c>
      <c r="E346" s="130" t="s">
        <v>329</v>
      </c>
      <c r="F346" s="130" t="s">
        <v>147</v>
      </c>
      <c r="G346" s="99" t="s">
        <v>738</v>
      </c>
      <c r="H346" s="99"/>
      <c r="I346" s="74">
        <f t="shared" si="52"/>
        <v>1500</v>
      </c>
      <c r="J346" s="74">
        <f t="shared" si="52"/>
        <v>21539.4</v>
      </c>
      <c r="K346" s="271">
        <f t="shared" si="51"/>
        <v>20039.4</v>
      </c>
      <c r="L346" s="74">
        <f t="shared" si="53"/>
        <v>0</v>
      </c>
      <c r="M346" s="74">
        <f t="shared" si="53"/>
        <v>0</v>
      </c>
    </row>
    <row r="347" spans="1:13" ht="18" customHeight="1">
      <c r="A347" s="111" t="s">
        <v>692</v>
      </c>
      <c r="B347" s="274" t="s">
        <v>23</v>
      </c>
      <c r="C347" s="327" t="s">
        <v>74</v>
      </c>
      <c r="D347" s="130" t="s">
        <v>425</v>
      </c>
      <c r="E347" s="130" t="s">
        <v>329</v>
      </c>
      <c r="F347" s="130" t="s">
        <v>147</v>
      </c>
      <c r="G347" s="99" t="s">
        <v>738</v>
      </c>
      <c r="H347" s="99" t="s">
        <v>691</v>
      </c>
      <c r="I347" s="74">
        <v>1500</v>
      </c>
      <c r="J347" s="74">
        <f>1500+20401.9-362.5</f>
        <v>21539.4</v>
      </c>
      <c r="K347" s="271">
        <f t="shared" si="51"/>
        <v>20039.4</v>
      </c>
      <c r="L347" s="74"/>
      <c r="M347" s="74"/>
    </row>
    <row r="348" spans="1:13" s="269" customFormat="1" ht="15">
      <c r="A348" s="140" t="s">
        <v>75</v>
      </c>
      <c r="B348" s="266">
        <v>110</v>
      </c>
      <c r="C348" s="95" t="s">
        <v>76</v>
      </c>
      <c r="D348" s="67"/>
      <c r="E348" s="67"/>
      <c r="F348" s="67"/>
      <c r="G348" s="67"/>
      <c r="H348" s="67"/>
      <c r="I348" s="36">
        <f>I356+I349</f>
        <v>3017.6000000000004</v>
      </c>
      <c r="J348" s="36">
        <f>J356+J349</f>
        <v>3017.6000000000004</v>
      </c>
      <c r="K348" s="267">
        <f t="shared" si="51"/>
        <v>0</v>
      </c>
      <c r="L348" s="36">
        <f>L356+L349</f>
        <v>2322</v>
      </c>
      <c r="M348" s="36">
        <f>M356+M349</f>
        <v>2409.5</v>
      </c>
    </row>
    <row r="349" spans="1:13" s="268" customFormat="1" ht="71.25">
      <c r="A349" s="125" t="s">
        <v>834</v>
      </c>
      <c r="B349" s="266">
        <v>110</v>
      </c>
      <c r="C349" s="95" t="s">
        <v>76</v>
      </c>
      <c r="D349" s="67" t="s">
        <v>147</v>
      </c>
      <c r="E349" s="67" t="s">
        <v>148</v>
      </c>
      <c r="F349" s="67" t="s">
        <v>149</v>
      </c>
      <c r="G349" s="67" t="s">
        <v>150</v>
      </c>
      <c r="H349" s="67"/>
      <c r="I349" s="36">
        <f>I350</f>
        <v>1920</v>
      </c>
      <c r="J349" s="36">
        <f>J350</f>
        <v>1920</v>
      </c>
      <c r="K349" s="267">
        <f aca="true" t="shared" si="54" ref="K349:K358">J349-I349</f>
        <v>0</v>
      </c>
      <c r="L349" s="36">
        <f>L350</f>
        <v>2322</v>
      </c>
      <c r="M349" s="36">
        <f>M350</f>
        <v>2409.5</v>
      </c>
    </row>
    <row r="350" spans="1:13" s="268" customFormat="1" ht="42.75">
      <c r="A350" s="125" t="s">
        <v>151</v>
      </c>
      <c r="B350" s="266">
        <v>110</v>
      </c>
      <c r="C350" s="95" t="s">
        <v>76</v>
      </c>
      <c r="D350" s="67" t="s">
        <v>147</v>
      </c>
      <c r="E350" s="67" t="s">
        <v>131</v>
      </c>
      <c r="F350" s="67" t="s">
        <v>149</v>
      </c>
      <c r="G350" s="67" t="s">
        <v>150</v>
      </c>
      <c r="H350" s="67"/>
      <c r="I350" s="36">
        <f>I351</f>
        <v>1920</v>
      </c>
      <c r="J350" s="36">
        <f>J351</f>
        <v>1920</v>
      </c>
      <c r="K350" s="267">
        <f t="shared" si="54"/>
        <v>0</v>
      </c>
      <c r="L350" s="36">
        <f>L351</f>
        <v>2322</v>
      </c>
      <c r="M350" s="36">
        <f>M351</f>
        <v>2409.5</v>
      </c>
    </row>
    <row r="351" spans="1:13" s="268" customFormat="1" ht="42.75">
      <c r="A351" s="125" t="s">
        <v>769</v>
      </c>
      <c r="B351" s="266">
        <v>110</v>
      </c>
      <c r="C351" s="95" t="s">
        <v>76</v>
      </c>
      <c r="D351" s="67" t="s">
        <v>147</v>
      </c>
      <c r="E351" s="67" t="s">
        <v>131</v>
      </c>
      <c r="F351" s="67" t="s">
        <v>160</v>
      </c>
      <c r="G351" s="67" t="s">
        <v>150</v>
      </c>
      <c r="H351" s="67"/>
      <c r="I351" s="36">
        <f>I352+I354</f>
        <v>1920</v>
      </c>
      <c r="J351" s="36">
        <f>J352+J354</f>
        <v>1920</v>
      </c>
      <c r="K351" s="267">
        <f t="shared" si="54"/>
        <v>0</v>
      </c>
      <c r="L351" s="36">
        <f>L352+L354</f>
        <v>2322</v>
      </c>
      <c r="M351" s="36">
        <f>M352+M354</f>
        <v>2409.5</v>
      </c>
    </row>
    <row r="352" spans="1:13" s="268" customFormat="1" ht="45">
      <c r="A352" s="319" t="s">
        <v>867</v>
      </c>
      <c r="B352" s="270">
        <v>110</v>
      </c>
      <c r="C352" s="100" t="s">
        <v>76</v>
      </c>
      <c r="D352" s="99" t="s">
        <v>147</v>
      </c>
      <c r="E352" s="99" t="s">
        <v>131</v>
      </c>
      <c r="F352" s="99" t="s">
        <v>160</v>
      </c>
      <c r="G352" s="99" t="s">
        <v>809</v>
      </c>
      <c r="H352" s="99"/>
      <c r="I352" s="74">
        <f>I353</f>
        <v>910</v>
      </c>
      <c r="J352" s="74">
        <f>J353</f>
        <v>910</v>
      </c>
      <c r="K352" s="271">
        <f t="shared" si="54"/>
        <v>0</v>
      </c>
      <c r="L352" s="74">
        <f>L353</f>
        <v>712</v>
      </c>
      <c r="M352" s="74">
        <f>M353</f>
        <v>559.5</v>
      </c>
    </row>
    <row r="353" spans="1:13" s="268" customFormat="1" ht="15">
      <c r="A353" s="111" t="s">
        <v>692</v>
      </c>
      <c r="B353" s="270">
        <v>110</v>
      </c>
      <c r="C353" s="100" t="s">
        <v>76</v>
      </c>
      <c r="D353" s="99" t="s">
        <v>147</v>
      </c>
      <c r="E353" s="99" t="s">
        <v>131</v>
      </c>
      <c r="F353" s="99" t="s">
        <v>160</v>
      </c>
      <c r="G353" s="99" t="s">
        <v>809</v>
      </c>
      <c r="H353" s="99" t="s">
        <v>691</v>
      </c>
      <c r="I353" s="74">
        <f>900+160-150</f>
        <v>910</v>
      </c>
      <c r="J353" s="74">
        <f>900+160-150</f>
        <v>910</v>
      </c>
      <c r="K353" s="271">
        <f t="shared" si="54"/>
        <v>0</v>
      </c>
      <c r="L353" s="74">
        <v>712</v>
      </c>
      <c r="M353" s="74">
        <v>559.5</v>
      </c>
    </row>
    <row r="354" spans="1:13" s="268" customFormat="1" ht="45">
      <c r="A354" s="103" t="s">
        <v>797</v>
      </c>
      <c r="B354" s="270">
        <v>110</v>
      </c>
      <c r="C354" s="100" t="s">
        <v>76</v>
      </c>
      <c r="D354" s="99" t="s">
        <v>147</v>
      </c>
      <c r="E354" s="99" t="s">
        <v>131</v>
      </c>
      <c r="F354" s="99" t="s">
        <v>160</v>
      </c>
      <c r="G354" s="99" t="s">
        <v>810</v>
      </c>
      <c r="H354" s="99"/>
      <c r="I354" s="74">
        <f>I355</f>
        <v>1010</v>
      </c>
      <c r="J354" s="74">
        <f>J355</f>
        <v>1010</v>
      </c>
      <c r="K354" s="271">
        <f t="shared" si="54"/>
        <v>0</v>
      </c>
      <c r="L354" s="74">
        <f>L355</f>
        <v>1610</v>
      </c>
      <c r="M354" s="74">
        <f>M355</f>
        <v>1850</v>
      </c>
    </row>
    <row r="355" spans="1:13" s="268" customFormat="1" ht="15">
      <c r="A355" s="102" t="s">
        <v>692</v>
      </c>
      <c r="B355" s="270">
        <v>110</v>
      </c>
      <c r="C355" s="100" t="s">
        <v>76</v>
      </c>
      <c r="D355" s="99" t="s">
        <v>147</v>
      </c>
      <c r="E355" s="99" t="s">
        <v>131</v>
      </c>
      <c r="F355" s="99" t="s">
        <v>160</v>
      </c>
      <c r="G355" s="99" t="s">
        <v>810</v>
      </c>
      <c r="H355" s="99" t="s">
        <v>691</v>
      </c>
      <c r="I355" s="74">
        <f>860+150</f>
        <v>1010</v>
      </c>
      <c r="J355" s="74">
        <f>860+150</f>
        <v>1010</v>
      </c>
      <c r="K355" s="271">
        <f t="shared" si="54"/>
        <v>0</v>
      </c>
      <c r="L355" s="74">
        <v>1610</v>
      </c>
      <c r="M355" s="74">
        <v>1850</v>
      </c>
    </row>
    <row r="356" spans="1:13" s="269" customFormat="1" ht="15">
      <c r="A356" s="127" t="s">
        <v>424</v>
      </c>
      <c r="B356" s="266" t="s">
        <v>23</v>
      </c>
      <c r="C356" s="95" t="s">
        <v>76</v>
      </c>
      <c r="D356" s="95" t="s">
        <v>425</v>
      </c>
      <c r="E356" s="95" t="s">
        <v>148</v>
      </c>
      <c r="F356" s="95" t="s">
        <v>149</v>
      </c>
      <c r="G356" s="67" t="s">
        <v>150</v>
      </c>
      <c r="H356" s="67"/>
      <c r="I356" s="36">
        <f>I357</f>
        <v>1097.6000000000004</v>
      </c>
      <c r="J356" s="36">
        <f>J357</f>
        <v>1097.6000000000004</v>
      </c>
      <c r="K356" s="267">
        <f t="shared" si="54"/>
        <v>0</v>
      </c>
      <c r="L356" s="36">
        <f>L357</f>
        <v>0</v>
      </c>
      <c r="M356" s="36">
        <f>M357</f>
        <v>0</v>
      </c>
    </row>
    <row r="357" spans="1:13" s="269" customFormat="1" ht="15">
      <c r="A357" s="124" t="s">
        <v>399</v>
      </c>
      <c r="B357" s="266" t="s">
        <v>23</v>
      </c>
      <c r="C357" s="95" t="s">
        <v>76</v>
      </c>
      <c r="D357" s="67" t="s">
        <v>425</v>
      </c>
      <c r="E357" s="67" t="s">
        <v>329</v>
      </c>
      <c r="F357" s="67" t="s">
        <v>149</v>
      </c>
      <c r="G357" s="67" t="s">
        <v>150</v>
      </c>
      <c r="H357" s="67"/>
      <c r="I357" s="36">
        <f>I358</f>
        <v>1097.6000000000004</v>
      </c>
      <c r="J357" s="36">
        <f>J358</f>
        <v>1097.6000000000004</v>
      </c>
      <c r="K357" s="267">
        <f t="shared" si="54"/>
        <v>0</v>
      </c>
      <c r="L357" s="36">
        <f>L358</f>
        <v>0</v>
      </c>
      <c r="M357" s="36">
        <f>M358</f>
        <v>0</v>
      </c>
    </row>
    <row r="358" spans="1:13" s="268" customFormat="1" ht="14.25">
      <c r="A358" s="127" t="s">
        <v>399</v>
      </c>
      <c r="B358" s="279" t="s">
        <v>23</v>
      </c>
      <c r="C358" s="282" t="s">
        <v>76</v>
      </c>
      <c r="D358" s="280" t="s">
        <v>425</v>
      </c>
      <c r="E358" s="280" t="s">
        <v>329</v>
      </c>
      <c r="F358" s="280" t="s">
        <v>147</v>
      </c>
      <c r="G358" s="67" t="s">
        <v>150</v>
      </c>
      <c r="H358" s="67"/>
      <c r="I358" s="36">
        <f>I359+I361</f>
        <v>1097.6000000000004</v>
      </c>
      <c r="J358" s="36">
        <f>J359+J361</f>
        <v>1097.6000000000004</v>
      </c>
      <c r="K358" s="267">
        <f t="shared" si="54"/>
        <v>0</v>
      </c>
      <c r="L358" s="36">
        <f>L359+L361</f>
        <v>0</v>
      </c>
      <c r="M358" s="36">
        <f>M359+M361</f>
        <v>0</v>
      </c>
    </row>
    <row r="359" spans="1:13" s="269" customFormat="1" ht="45">
      <c r="A359" s="109" t="s">
        <v>440</v>
      </c>
      <c r="B359" s="274" t="s">
        <v>23</v>
      </c>
      <c r="C359" s="283" t="s">
        <v>76</v>
      </c>
      <c r="D359" s="130" t="s">
        <v>425</v>
      </c>
      <c r="E359" s="130" t="s">
        <v>329</v>
      </c>
      <c r="F359" s="130" t="s">
        <v>147</v>
      </c>
      <c r="G359" s="99" t="s">
        <v>441</v>
      </c>
      <c r="H359" s="99"/>
      <c r="I359" s="74">
        <f>I360</f>
        <v>500</v>
      </c>
      <c r="J359" s="74">
        <f>J360</f>
        <v>500</v>
      </c>
      <c r="K359" s="271">
        <f aca="true" t="shared" si="55" ref="K359:K371">J359-I359</f>
        <v>0</v>
      </c>
      <c r="L359" s="74">
        <f>L360</f>
        <v>0</v>
      </c>
      <c r="M359" s="74">
        <f>M360</f>
        <v>0</v>
      </c>
    </row>
    <row r="360" spans="1:13" s="269" customFormat="1" ht="30">
      <c r="A360" s="109" t="s">
        <v>683</v>
      </c>
      <c r="B360" s="274" t="s">
        <v>23</v>
      </c>
      <c r="C360" s="283" t="s">
        <v>76</v>
      </c>
      <c r="D360" s="130" t="s">
        <v>425</v>
      </c>
      <c r="E360" s="130" t="s">
        <v>329</v>
      </c>
      <c r="F360" s="130" t="s">
        <v>147</v>
      </c>
      <c r="G360" s="99" t="s">
        <v>441</v>
      </c>
      <c r="H360" s="99" t="s">
        <v>682</v>
      </c>
      <c r="I360" s="74">
        <v>500</v>
      </c>
      <c r="J360" s="74">
        <v>500</v>
      </c>
      <c r="K360" s="271">
        <f t="shared" si="55"/>
        <v>0</v>
      </c>
      <c r="L360" s="74"/>
      <c r="M360" s="74"/>
    </row>
    <row r="361" spans="1:13" s="276" customFormat="1" ht="45">
      <c r="A361" s="115" t="s">
        <v>994</v>
      </c>
      <c r="B361" s="270">
        <v>110</v>
      </c>
      <c r="C361" s="100" t="s">
        <v>76</v>
      </c>
      <c r="D361" s="99" t="s">
        <v>425</v>
      </c>
      <c r="E361" s="99" t="s">
        <v>329</v>
      </c>
      <c r="F361" s="99" t="s">
        <v>147</v>
      </c>
      <c r="G361" s="99" t="s">
        <v>993</v>
      </c>
      <c r="H361" s="99"/>
      <c r="I361" s="74">
        <f>I362</f>
        <v>597.6000000000004</v>
      </c>
      <c r="J361" s="74">
        <f>J362</f>
        <v>597.6000000000004</v>
      </c>
      <c r="K361" s="271">
        <f t="shared" si="55"/>
        <v>0</v>
      </c>
      <c r="L361" s="74">
        <f>L362</f>
        <v>0</v>
      </c>
      <c r="M361" s="74">
        <f>M362</f>
        <v>0</v>
      </c>
    </row>
    <row r="362" spans="1:13" s="276" customFormat="1" ht="15">
      <c r="A362" s="112" t="s">
        <v>690</v>
      </c>
      <c r="B362" s="270">
        <v>110</v>
      </c>
      <c r="C362" s="100" t="s">
        <v>76</v>
      </c>
      <c r="D362" s="99" t="s">
        <v>425</v>
      </c>
      <c r="E362" s="99" t="s">
        <v>329</v>
      </c>
      <c r="F362" s="99" t="s">
        <v>147</v>
      </c>
      <c r="G362" s="99" t="s">
        <v>993</v>
      </c>
      <c r="H362" s="99" t="s">
        <v>691</v>
      </c>
      <c r="I362" s="74">
        <f>10371+226.6-10000</f>
        <v>597.6000000000004</v>
      </c>
      <c r="J362" s="74">
        <f>10371+226.6-10000</f>
        <v>597.6000000000004</v>
      </c>
      <c r="K362" s="271">
        <f t="shared" si="55"/>
        <v>0</v>
      </c>
      <c r="L362" s="74"/>
      <c r="M362" s="74"/>
    </row>
    <row r="363" spans="1:13" s="269" customFormat="1" ht="15">
      <c r="A363" s="140" t="s">
        <v>77</v>
      </c>
      <c r="B363" s="266" t="s">
        <v>23</v>
      </c>
      <c r="C363" s="95" t="s">
        <v>78</v>
      </c>
      <c r="D363" s="67"/>
      <c r="E363" s="67"/>
      <c r="F363" s="67"/>
      <c r="G363" s="67"/>
      <c r="H363" s="67"/>
      <c r="I363" s="36">
        <f>I369+I364</f>
        <v>2441</v>
      </c>
      <c r="J363" s="36">
        <f>J369+J364</f>
        <v>2598.4</v>
      </c>
      <c r="K363" s="267">
        <f t="shared" si="55"/>
        <v>157.4000000000001</v>
      </c>
      <c r="L363" s="36">
        <f>L369+L364</f>
        <v>2538.8</v>
      </c>
      <c r="M363" s="36">
        <f>M369+M364</f>
        <v>2640.3</v>
      </c>
    </row>
    <row r="364" spans="1:13" s="269" customFormat="1" ht="71.25" hidden="1">
      <c r="A364" s="127" t="s">
        <v>834</v>
      </c>
      <c r="B364" s="266">
        <v>110</v>
      </c>
      <c r="C364" s="95" t="s">
        <v>78</v>
      </c>
      <c r="D364" s="67" t="s">
        <v>147</v>
      </c>
      <c r="E364" s="67" t="s">
        <v>148</v>
      </c>
      <c r="F364" s="67" t="s">
        <v>149</v>
      </c>
      <c r="G364" s="67" t="s">
        <v>150</v>
      </c>
      <c r="H364" s="67"/>
      <c r="I364" s="36">
        <f aca="true" t="shared" si="56" ref="I364:J367">I365</f>
        <v>0</v>
      </c>
      <c r="J364" s="36">
        <f t="shared" si="56"/>
        <v>0</v>
      </c>
      <c r="K364" s="267">
        <f t="shared" si="55"/>
        <v>0</v>
      </c>
      <c r="L364" s="36">
        <f aca="true" t="shared" si="57" ref="L364:M367">L365</f>
        <v>0</v>
      </c>
      <c r="M364" s="36">
        <f t="shared" si="57"/>
        <v>0</v>
      </c>
    </row>
    <row r="365" spans="1:13" s="269" customFormat="1" ht="34.5" customHeight="1" hidden="1">
      <c r="A365" s="97" t="s">
        <v>151</v>
      </c>
      <c r="B365" s="266">
        <v>110</v>
      </c>
      <c r="C365" s="95" t="s">
        <v>78</v>
      </c>
      <c r="D365" s="67" t="s">
        <v>147</v>
      </c>
      <c r="E365" s="67" t="s">
        <v>131</v>
      </c>
      <c r="F365" s="67" t="s">
        <v>149</v>
      </c>
      <c r="G365" s="67" t="s">
        <v>150</v>
      </c>
      <c r="H365" s="67"/>
      <c r="I365" s="36">
        <f t="shared" si="56"/>
        <v>0</v>
      </c>
      <c r="J365" s="36">
        <f t="shared" si="56"/>
        <v>0</v>
      </c>
      <c r="K365" s="267">
        <f t="shared" si="55"/>
        <v>0</v>
      </c>
      <c r="L365" s="36">
        <f t="shared" si="57"/>
        <v>0</v>
      </c>
      <c r="M365" s="36">
        <f t="shared" si="57"/>
        <v>0</v>
      </c>
    </row>
    <row r="366" spans="1:13" s="269" customFormat="1" ht="42.75" hidden="1">
      <c r="A366" s="97" t="s">
        <v>769</v>
      </c>
      <c r="B366" s="266">
        <v>110</v>
      </c>
      <c r="C366" s="95" t="s">
        <v>78</v>
      </c>
      <c r="D366" s="67" t="s">
        <v>147</v>
      </c>
      <c r="E366" s="67" t="s">
        <v>131</v>
      </c>
      <c r="F366" s="67" t="s">
        <v>160</v>
      </c>
      <c r="G366" s="67" t="s">
        <v>150</v>
      </c>
      <c r="H366" s="67"/>
      <c r="I366" s="36">
        <f t="shared" si="56"/>
        <v>0</v>
      </c>
      <c r="J366" s="36">
        <f t="shared" si="56"/>
        <v>0</v>
      </c>
      <c r="K366" s="267">
        <f t="shared" si="55"/>
        <v>0</v>
      </c>
      <c r="L366" s="36">
        <f t="shared" si="57"/>
        <v>0</v>
      </c>
      <c r="M366" s="36">
        <f t="shared" si="57"/>
        <v>0</v>
      </c>
    </row>
    <row r="367" spans="1:13" s="269" customFormat="1" ht="35.25" customHeight="1" hidden="1">
      <c r="A367" s="102" t="s">
        <v>1112</v>
      </c>
      <c r="B367" s="270">
        <v>110</v>
      </c>
      <c r="C367" s="100" t="s">
        <v>78</v>
      </c>
      <c r="D367" s="99" t="s">
        <v>147</v>
      </c>
      <c r="E367" s="99" t="s">
        <v>131</v>
      </c>
      <c r="F367" s="99" t="s">
        <v>160</v>
      </c>
      <c r="G367" s="99" t="s">
        <v>811</v>
      </c>
      <c r="H367" s="99"/>
      <c r="I367" s="74">
        <f t="shared" si="56"/>
        <v>0</v>
      </c>
      <c r="J367" s="74">
        <f t="shared" si="56"/>
        <v>0</v>
      </c>
      <c r="K367" s="271">
        <f t="shared" si="55"/>
        <v>0</v>
      </c>
      <c r="L367" s="74">
        <f t="shared" si="57"/>
        <v>0</v>
      </c>
      <c r="M367" s="74">
        <f t="shared" si="57"/>
        <v>0</v>
      </c>
    </row>
    <row r="368" spans="1:13" s="269" customFormat="1" ht="15" hidden="1">
      <c r="A368" s="102" t="s">
        <v>692</v>
      </c>
      <c r="B368" s="270">
        <v>110</v>
      </c>
      <c r="C368" s="100" t="s">
        <v>78</v>
      </c>
      <c r="D368" s="99" t="s">
        <v>147</v>
      </c>
      <c r="E368" s="99" t="s">
        <v>131</v>
      </c>
      <c r="F368" s="99" t="s">
        <v>160</v>
      </c>
      <c r="G368" s="99" t="s">
        <v>811</v>
      </c>
      <c r="H368" s="99" t="s">
        <v>691</v>
      </c>
      <c r="I368" s="74"/>
      <c r="J368" s="74">
        <f>300-300</f>
        <v>0</v>
      </c>
      <c r="K368" s="271">
        <f t="shared" si="55"/>
        <v>0</v>
      </c>
      <c r="L368" s="74"/>
      <c r="M368" s="74"/>
    </row>
    <row r="369" spans="1:13" s="269" customFormat="1" ht="15">
      <c r="A369" s="127" t="s">
        <v>424</v>
      </c>
      <c r="B369" s="266" t="s">
        <v>23</v>
      </c>
      <c r="C369" s="95" t="s">
        <v>78</v>
      </c>
      <c r="D369" s="95" t="s">
        <v>425</v>
      </c>
      <c r="E369" s="95" t="s">
        <v>148</v>
      </c>
      <c r="F369" s="95" t="s">
        <v>149</v>
      </c>
      <c r="G369" s="95" t="s">
        <v>150</v>
      </c>
      <c r="H369" s="94"/>
      <c r="I369" s="36">
        <f aca="true" t="shared" si="58" ref="I369:M372">I370</f>
        <v>2441</v>
      </c>
      <c r="J369" s="36">
        <f t="shared" si="58"/>
        <v>2598.4</v>
      </c>
      <c r="K369" s="267">
        <f t="shared" si="55"/>
        <v>157.4000000000001</v>
      </c>
      <c r="L369" s="36">
        <f t="shared" si="58"/>
        <v>2538.8</v>
      </c>
      <c r="M369" s="36">
        <f t="shared" si="58"/>
        <v>2640.3</v>
      </c>
    </row>
    <row r="370" spans="1:13" s="268" customFormat="1" ht="14.25">
      <c r="A370" s="124" t="s">
        <v>399</v>
      </c>
      <c r="B370" s="266" t="s">
        <v>23</v>
      </c>
      <c r="C370" s="95" t="s">
        <v>78</v>
      </c>
      <c r="D370" s="67" t="s">
        <v>425</v>
      </c>
      <c r="E370" s="67" t="s">
        <v>329</v>
      </c>
      <c r="F370" s="67" t="s">
        <v>149</v>
      </c>
      <c r="G370" s="67" t="s">
        <v>150</v>
      </c>
      <c r="H370" s="67"/>
      <c r="I370" s="36">
        <f t="shared" si="58"/>
        <v>2441</v>
      </c>
      <c r="J370" s="36">
        <f t="shared" si="58"/>
        <v>2598.4</v>
      </c>
      <c r="K370" s="267">
        <f t="shared" si="55"/>
        <v>157.4000000000001</v>
      </c>
      <c r="L370" s="36">
        <f t="shared" si="58"/>
        <v>2538.8</v>
      </c>
      <c r="M370" s="36">
        <f t="shared" si="58"/>
        <v>2640.3</v>
      </c>
    </row>
    <row r="371" spans="1:13" s="268" customFormat="1" ht="14.25">
      <c r="A371" s="127" t="s">
        <v>399</v>
      </c>
      <c r="B371" s="279" t="s">
        <v>23</v>
      </c>
      <c r="C371" s="282" t="s">
        <v>78</v>
      </c>
      <c r="D371" s="280" t="s">
        <v>425</v>
      </c>
      <c r="E371" s="280" t="s">
        <v>329</v>
      </c>
      <c r="F371" s="280" t="s">
        <v>147</v>
      </c>
      <c r="G371" s="67" t="s">
        <v>150</v>
      </c>
      <c r="H371" s="67"/>
      <c r="I371" s="36">
        <f>I372</f>
        <v>2441</v>
      </c>
      <c r="J371" s="36">
        <f>J372</f>
        <v>2598.4</v>
      </c>
      <c r="K371" s="267">
        <f t="shared" si="55"/>
        <v>157.4000000000001</v>
      </c>
      <c r="L371" s="36">
        <f t="shared" si="58"/>
        <v>2538.8</v>
      </c>
      <c r="M371" s="36">
        <f t="shared" si="58"/>
        <v>2640.3</v>
      </c>
    </row>
    <row r="372" spans="1:13" s="268" customFormat="1" ht="30">
      <c r="A372" s="111" t="s">
        <v>415</v>
      </c>
      <c r="B372" s="274" t="s">
        <v>23</v>
      </c>
      <c r="C372" s="283" t="s">
        <v>78</v>
      </c>
      <c r="D372" s="130" t="s">
        <v>425</v>
      </c>
      <c r="E372" s="130" t="s">
        <v>329</v>
      </c>
      <c r="F372" s="130" t="s">
        <v>147</v>
      </c>
      <c r="G372" s="130" t="s">
        <v>416</v>
      </c>
      <c r="H372" s="128"/>
      <c r="I372" s="275">
        <f t="shared" si="58"/>
        <v>2441</v>
      </c>
      <c r="J372" s="275">
        <f t="shared" si="58"/>
        <v>2598.4</v>
      </c>
      <c r="K372" s="271">
        <f>J372-I372</f>
        <v>157.4000000000001</v>
      </c>
      <c r="L372" s="275">
        <f t="shared" si="58"/>
        <v>2538.8</v>
      </c>
      <c r="M372" s="275">
        <f t="shared" si="58"/>
        <v>2640.3</v>
      </c>
    </row>
    <row r="373" spans="1:13" s="268" customFormat="1" ht="30">
      <c r="A373" s="111" t="s">
        <v>683</v>
      </c>
      <c r="B373" s="274" t="s">
        <v>23</v>
      </c>
      <c r="C373" s="108" t="s">
        <v>78</v>
      </c>
      <c r="D373" s="130" t="s">
        <v>425</v>
      </c>
      <c r="E373" s="130" t="s">
        <v>329</v>
      </c>
      <c r="F373" s="130" t="s">
        <v>147</v>
      </c>
      <c r="G373" s="130" t="s">
        <v>416</v>
      </c>
      <c r="H373" s="99" t="s">
        <v>682</v>
      </c>
      <c r="I373" s="74">
        <v>2441</v>
      </c>
      <c r="J373" s="74">
        <f>2441+157.4</f>
        <v>2598.4</v>
      </c>
      <c r="K373" s="271">
        <f>J373-I373</f>
        <v>157.4000000000001</v>
      </c>
      <c r="L373" s="74">
        <v>2538.8</v>
      </c>
      <c r="M373" s="74">
        <v>2640.3</v>
      </c>
    </row>
    <row r="374" spans="1:13" s="268" customFormat="1" ht="14.25">
      <c r="A374" s="127" t="s">
        <v>469</v>
      </c>
      <c r="B374" s="266" t="s">
        <v>23</v>
      </c>
      <c r="C374" s="95" t="s">
        <v>84</v>
      </c>
      <c r="D374" s="67"/>
      <c r="E374" s="67"/>
      <c r="F374" s="67"/>
      <c r="G374" s="67"/>
      <c r="H374" s="67"/>
      <c r="I374" s="36">
        <f>I375+I415</f>
        <v>93427.3</v>
      </c>
      <c r="J374" s="36">
        <f>J375+J415</f>
        <v>93541.8</v>
      </c>
      <c r="K374" s="267">
        <f aca="true" t="shared" si="59" ref="K374:K392">J374-I374</f>
        <v>114.5</v>
      </c>
      <c r="L374" s="36">
        <f>L375+L415</f>
        <v>93808.3</v>
      </c>
      <c r="M374" s="36">
        <f>M375+M415</f>
        <v>95939</v>
      </c>
    </row>
    <row r="375" spans="1:13" s="268" customFormat="1" ht="14.25">
      <c r="A375" s="127" t="s">
        <v>89</v>
      </c>
      <c r="B375" s="266">
        <v>110</v>
      </c>
      <c r="C375" s="95" t="s">
        <v>90</v>
      </c>
      <c r="D375" s="67"/>
      <c r="E375" s="67"/>
      <c r="F375" s="67"/>
      <c r="G375" s="67"/>
      <c r="H375" s="67"/>
      <c r="I375" s="36">
        <f>I376+I410+I405</f>
        <v>92809.5</v>
      </c>
      <c r="J375" s="36">
        <f>J376+J410+J405</f>
        <v>92924</v>
      </c>
      <c r="K375" s="267">
        <f t="shared" si="59"/>
        <v>114.5</v>
      </c>
      <c r="L375" s="36">
        <f>L376+L410+L405</f>
        <v>93430.3</v>
      </c>
      <c r="M375" s="36">
        <f>M376+M410+M405</f>
        <v>95561</v>
      </c>
    </row>
    <row r="376" spans="1:13" s="268" customFormat="1" ht="30.75" customHeight="1">
      <c r="A376" s="127" t="s">
        <v>186</v>
      </c>
      <c r="B376" s="279" t="s">
        <v>23</v>
      </c>
      <c r="C376" s="95" t="s">
        <v>90</v>
      </c>
      <c r="D376" s="67" t="s">
        <v>187</v>
      </c>
      <c r="E376" s="67" t="s">
        <v>148</v>
      </c>
      <c r="F376" s="67" t="s">
        <v>149</v>
      </c>
      <c r="G376" s="67" t="s">
        <v>150</v>
      </c>
      <c r="H376" s="67"/>
      <c r="I376" s="36">
        <f>I377+I393+I401</f>
        <v>87817.6</v>
      </c>
      <c r="J376" s="36">
        <f>J377+J393+J401</f>
        <v>87932.1</v>
      </c>
      <c r="K376" s="267">
        <f t="shared" si="59"/>
        <v>114.5</v>
      </c>
      <c r="L376" s="36">
        <f>L377+L393+L401</f>
        <v>87322.40000000001</v>
      </c>
      <c r="M376" s="36">
        <f>M377+M393+M401</f>
        <v>89123.5</v>
      </c>
    </row>
    <row r="377" spans="1:13" s="268" customFormat="1" ht="28.5">
      <c r="A377" s="97" t="s">
        <v>188</v>
      </c>
      <c r="B377" s="279" t="s">
        <v>23</v>
      </c>
      <c r="C377" s="95" t="s">
        <v>90</v>
      </c>
      <c r="D377" s="67" t="s">
        <v>187</v>
      </c>
      <c r="E377" s="67" t="s">
        <v>131</v>
      </c>
      <c r="F377" s="67" t="s">
        <v>149</v>
      </c>
      <c r="G377" s="67" t="s">
        <v>150</v>
      </c>
      <c r="H377" s="67"/>
      <c r="I377" s="36">
        <f>I378</f>
        <v>1584</v>
      </c>
      <c r="J377" s="36">
        <f>J378</f>
        <v>1584</v>
      </c>
      <c r="K377" s="267">
        <f t="shared" si="59"/>
        <v>0</v>
      </c>
      <c r="L377" s="36">
        <f>L378</f>
        <v>2941.2999999999997</v>
      </c>
      <c r="M377" s="36">
        <f>M378</f>
        <v>370.1</v>
      </c>
    </row>
    <row r="378" spans="1:13" s="268" customFormat="1" ht="42.75">
      <c r="A378" s="97" t="s">
        <v>756</v>
      </c>
      <c r="B378" s="279" t="s">
        <v>23</v>
      </c>
      <c r="C378" s="95" t="s">
        <v>90</v>
      </c>
      <c r="D378" s="67" t="s">
        <v>187</v>
      </c>
      <c r="E378" s="67" t="s">
        <v>131</v>
      </c>
      <c r="F378" s="67" t="s">
        <v>160</v>
      </c>
      <c r="G378" s="67" t="s">
        <v>150</v>
      </c>
      <c r="H378" s="67"/>
      <c r="I378" s="36">
        <f>I379+I383+I387+I389+I391+I381+I385</f>
        <v>1584</v>
      </c>
      <c r="J378" s="36">
        <f>J379+J383+J387+J389+J391+J381+J385</f>
        <v>1584</v>
      </c>
      <c r="K378" s="267">
        <f t="shared" si="59"/>
        <v>0</v>
      </c>
      <c r="L378" s="36">
        <f>L379+L383+L387+L389+L391+L381+L385</f>
        <v>2941.2999999999997</v>
      </c>
      <c r="M378" s="36">
        <f>M379+M383+M387+M389+M391+M381+M385</f>
        <v>370.1</v>
      </c>
    </row>
    <row r="379" spans="1:13" s="268" customFormat="1" ht="15">
      <c r="A379" s="111" t="s">
        <v>201</v>
      </c>
      <c r="B379" s="274" t="s">
        <v>23</v>
      </c>
      <c r="C379" s="100" t="s">
        <v>90</v>
      </c>
      <c r="D379" s="99" t="s">
        <v>187</v>
      </c>
      <c r="E379" s="99" t="s">
        <v>131</v>
      </c>
      <c r="F379" s="99" t="s">
        <v>160</v>
      </c>
      <c r="G379" s="99" t="s">
        <v>202</v>
      </c>
      <c r="H379" s="99"/>
      <c r="I379" s="74">
        <f>I380</f>
        <v>315</v>
      </c>
      <c r="J379" s="74">
        <f>J380</f>
        <v>315</v>
      </c>
      <c r="K379" s="271">
        <f t="shared" si="59"/>
        <v>0</v>
      </c>
      <c r="L379" s="74">
        <f>L380</f>
        <v>2571.2</v>
      </c>
      <c r="M379" s="74">
        <f>M380</f>
        <v>0</v>
      </c>
    </row>
    <row r="380" spans="1:13" s="156" customFormat="1" ht="30">
      <c r="A380" s="111" t="s">
        <v>688</v>
      </c>
      <c r="B380" s="274" t="s">
        <v>23</v>
      </c>
      <c r="C380" s="100" t="s">
        <v>90</v>
      </c>
      <c r="D380" s="99" t="s">
        <v>187</v>
      </c>
      <c r="E380" s="99" t="s">
        <v>131</v>
      </c>
      <c r="F380" s="99" t="s">
        <v>160</v>
      </c>
      <c r="G380" s="99" t="s">
        <v>202</v>
      </c>
      <c r="H380" s="99" t="s">
        <v>689</v>
      </c>
      <c r="I380" s="74">
        <v>315</v>
      </c>
      <c r="J380" s="74">
        <v>315</v>
      </c>
      <c r="K380" s="271">
        <f t="shared" si="59"/>
        <v>0</v>
      </c>
      <c r="L380" s="74">
        <v>2571.2</v>
      </c>
      <c r="M380" s="74"/>
    </row>
    <row r="381" spans="1:13" s="156" customFormat="1" ht="15">
      <c r="A381" s="115" t="s">
        <v>702</v>
      </c>
      <c r="B381" s="274">
        <v>110</v>
      </c>
      <c r="C381" s="100" t="s">
        <v>90</v>
      </c>
      <c r="D381" s="99" t="s">
        <v>187</v>
      </c>
      <c r="E381" s="99" t="s">
        <v>131</v>
      </c>
      <c r="F381" s="99" t="s">
        <v>160</v>
      </c>
      <c r="G381" s="99" t="s">
        <v>699</v>
      </c>
      <c r="H381" s="99"/>
      <c r="I381" s="74">
        <f>I382</f>
        <v>483.4</v>
      </c>
      <c r="J381" s="74">
        <f>J382</f>
        <v>483.4</v>
      </c>
      <c r="K381" s="271">
        <f t="shared" si="59"/>
        <v>0</v>
      </c>
      <c r="L381" s="74">
        <f>L382</f>
        <v>0</v>
      </c>
      <c r="M381" s="74">
        <f>M382</f>
        <v>0</v>
      </c>
    </row>
    <row r="382" spans="1:13" s="156" customFormat="1" ht="30">
      <c r="A382" s="111" t="s">
        <v>688</v>
      </c>
      <c r="B382" s="274">
        <v>110</v>
      </c>
      <c r="C382" s="100" t="s">
        <v>90</v>
      </c>
      <c r="D382" s="99" t="s">
        <v>187</v>
      </c>
      <c r="E382" s="99" t="s">
        <v>131</v>
      </c>
      <c r="F382" s="99" t="s">
        <v>160</v>
      </c>
      <c r="G382" s="99" t="s">
        <v>699</v>
      </c>
      <c r="H382" s="99" t="s">
        <v>689</v>
      </c>
      <c r="I382" s="74">
        <f>493.9-10.5</f>
        <v>483.4</v>
      </c>
      <c r="J382" s="74">
        <f>493.9-10.5</f>
        <v>483.4</v>
      </c>
      <c r="K382" s="271">
        <f t="shared" si="59"/>
        <v>0</v>
      </c>
      <c r="L382" s="74"/>
      <c r="M382" s="74"/>
    </row>
    <row r="383" spans="1:13" s="269" customFormat="1" ht="15">
      <c r="A383" s="115" t="s">
        <v>700</v>
      </c>
      <c r="B383" s="274" t="s">
        <v>23</v>
      </c>
      <c r="C383" s="100" t="s">
        <v>90</v>
      </c>
      <c r="D383" s="99" t="s">
        <v>187</v>
      </c>
      <c r="E383" s="99" t="s">
        <v>131</v>
      </c>
      <c r="F383" s="99" t="s">
        <v>160</v>
      </c>
      <c r="G383" s="99" t="s">
        <v>701</v>
      </c>
      <c r="H383" s="99"/>
      <c r="I383" s="74">
        <f>I384</f>
        <v>165</v>
      </c>
      <c r="J383" s="74">
        <f>J384</f>
        <v>165</v>
      </c>
      <c r="K383" s="271">
        <f t="shared" si="59"/>
        <v>0</v>
      </c>
      <c r="L383" s="74">
        <f>L384</f>
        <v>0</v>
      </c>
      <c r="M383" s="74">
        <f>M384</f>
        <v>0</v>
      </c>
    </row>
    <row r="384" spans="1:13" s="269" customFormat="1" ht="30">
      <c r="A384" s="115" t="s">
        <v>688</v>
      </c>
      <c r="B384" s="274" t="s">
        <v>23</v>
      </c>
      <c r="C384" s="100" t="s">
        <v>90</v>
      </c>
      <c r="D384" s="99" t="s">
        <v>187</v>
      </c>
      <c r="E384" s="99" t="s">
        <v>131</v>
      </c>
      <c r="F384" s="99" t="s">
        <v>160</v>
      </c>
      <c r="G384" s="99" t="s">
        <v>701</v>
      </c>
      <c r="H384" s="99" t="s">
        <v>689</v>
      </c>
      <c r="I384" s="74">
        <v>165</v>
      </c>
      <c r="J384" s="74">
        <v>165</v>
      </c>
      <c r="K384" s="271">
        <f t="shared" si="59"/>
        <v>0</v>
      </c>
      <c r="L384" s="74"/>
      <c r="M384" s="74"/>
    </row>
    <row r="385" spans="1:13" s="269" customFormat="1" ht="30">
      <c r="A385" s="115" t="s">
        <v>1011</v>
      </c>
      <c r="B385" s="274" t="s">
        <v>23</v>
      </c>
      <c r="C385" s="100" t="s">
        <v>90</v>
      </c>
      <c r="D385" s="99" t="s">
        <v>187</v>
      </c>
      <c r="E385" s="99" t="s">
        <v>131</v>
      </c>
      <c r="F385" s="99" t="s">
        <v>160</v>
      </c>
      <c r="G385" s="99" t="s">
        <v>1012</v>
      </c>
      <c r="H385" s="99"/>
      <c r="I385" s="74">
        <f>I386</f>
        <v>40</v>
      </c>
      <c r="J385" s="74">
        <f>J386</f>
        <v>40</v>
      </c>
      <c r="K385" s="271">
        <f t="shared" si="59"/>
        <v>0</v>
      </c>
      <c r="L385" s="74">
        <f>L386</f>
        <v>0</v>
      </c>
      <c r="M385" s="74">
        <f>M386</f>
        <v>0</v>
      </c>
    </row>
    <row r="386" spans="1:13" s="269" customFormat="1" ht="30">
      <c r="A386" s="115" t="s">
        <v>688</v>
      </c>
      <c r="B386" s="274" t="s">
        <v>23</v>
      </c>
      <c r="C386" s="100" t="s">
        <v>90</v>
      </c>
      <c r="D386" s="99" t="s">
        <v>187</v>
      </c>
      <c r="E386" s="99" t="s">
        <v>131</v>
      </c>
      <c r="F386" s="99" t="s">
        <v>160</v>
      </c>
      <c r="G386" s="99" t="s">
        <v>1012</v>
      </c>
      <c r="H386" s="99" t="s">
        <v>689</v>
      </c>
      <c r="I386" s="74">
        <v>40</v>
      </c>
      <c r="J386" s="74">
        <v>40</v>
      </c>
      <c r="K386" s="271">
        <f t="shared" si="59"/>
        <v>0</v>
      </c>
      <c r="L386" s="74"/>
      <c r="M386" s="74"/>
    </row>
    <row r="387" spans="1:13" s="269" customFormat="1" ht="30">
      <c r="A387" s="109" t="s">
        <v>1031</v>
      </c>
      <c r="B387" s="270">
        <v>110</v>
      </c>
      <c r="C387" s="100" t="s">
        <v>90</v>
      </c>
      <c r="D387" s="99" t="s">
        <v>187</v>
      </c>
      <c r="E387" s="99" t="s">
        <v>131</v>
      </c>
      <c r="F387" s="99" t="s">
        <v>160</v>
      </c>
      <c r="G387" s="99" t="s">
        <v>1030</v>
      </c>
      <c r="H387" s="99"/>
      <c r="I387" s="74">
        <f>I388</f>
        <v>210.5</v>
      </c>
      <c r="J387" s="74">
        <f>J388</f>
        <v>210.5</v>
      </c>
      <c r="K387" s="271">
        <f t="shared" si="59"/>
        <v>0</v>
      </c>
      <c r="L387" s="74">
        <f>L388</f>
        <v>0</v>
      </c>
      <c r="M387" s="74">
        <f>M388</f>
        <v>0</v>
      </c>
    </row>
    <row r="388" spans="1:13" s="268" customFormat="1" ht="30">
      <c r="A388" s="115" t="s">
        <v>688</v>
      </c>
      <c r="B388" s="270">
        <v>110</v>
      </c>
      <c r="C388" s="100" t="s">
        <v>90</v>
      </c>
      <c r="D388" s="99" t="s">
        <v>187</v>
      </c>
      <c r="E388" s="99" t="s">
        <v>131</v>
      </c>
      <c r="F388" s="99" t="s">
        <v>160</v>
      </c>
      <c r="G388" s="99" t="s">
        <v>1030</v>
      </c>
      <c r="H388" s="99" t="s">
        <v>689</v>
      </c>
      <c r="I388" s="131">
        <f>10.5+200</f>
        <v>210.5</v>
      </c>
      <c r="J388" s="131">
        <f>10.5+200</f>
        <v>210.5</v>
      </c>
      <c r="K388" s="271">
        <f t="shared" si="59"/>
        <v>0</v>
      </c>
      <c r="L388" s="74"/>
      <c r="M388" s="74"/>
    </row>
    <row r="389" spans="1:13" s="156" customFormat="1" ht="17.25" customHeight="1" hidden="1">
      <c r="A389" s="115" t="s">
        <v>705</v>
      </c>
      <c r="B389" s="274" t="s">
        <v>23</v>
      </c>
      <c r="C389" s="100" t="s">
        <v>90</v>
      </c>
      <c r="D389" s="99" t="s">
        <v>187</v>
      </c>
      <c r="E389" s="99" t="s">
        <v>131</v>
      </c>
      <c r="F389" s="99" t="s">
        <v>160</v>
      </c>
      <c r="G389" s="99" t="s">
        <v>706</v>
      </c>
      <c r="H389" s="99"/>
      <c r="I389" s="74"/>
      <c r="J389" s="74">
        <f>J390</f>
        <v>0</v>
      </c>
      <c r="K389" s="271">
        <f t="shared" si="59"/>
        <v>0</v>
      </c>
      <c r="L389" s="74">
        <f>L390</f>
        <v>0</v>
      </c>
      <c r="M389" s="74">
        <f>M390</f>
        <v>0</v>
      </c>
    </row>
    <row r="390" spans="1:13" s="156" customFormat="1" ht="16.5" customHeight="1" hidden="1">
      <c r="A390" s="115" t="s">
        <v>688</v>
      </c>
      <c r="B390" s="274" t="s">
        <v>23</v>
      </c>
      <c r="C390" s="100" t="s">
        <v>90</v>
      </c>
      <c r="D390" s="99" t="s">
        <v>187</v>
      </c>
      <c r="E390" s="99" t="s">
        <v>131</v>
      </c>
      <c r="F390" s="99" t="s">
        <v>160</v>
      </c>
      <c r="G390" s="99" t="s">
        <v>706</v>
      </c>
      <c r="H390" s="99" t="s">
        <v>689</v>
      </c>
      <c r="I390" s="74"/>
      <c r="J390" s="74"/>
      <c r="K390" s="271">
        <f t="shared" si="59"/>
        <v>0</v>
      </c>
      <c r="L390" s="74"/>
      <c r="M390" s="74"/>
    </row>
    <row r="391" spans="1:13" s="156" customFormat="1" ht="15">
      <c r="A391" s="115" t="s">
        <v>705</v>
      </c>
      <c r="B391" s="274" t="s">
        <v>23</v>
      </c>
      <c r="C391" s="100" t="s">
        <v>90</v>
      </c>
      <c r="D391" s="99" t="s">
        <v>187</v>
      </c>
      <c r="E391" s="99" t="s">
        <v>131</v>
      </c>
      <c r="F391" s="99" t="s">
        <v>160</v>
      </c>
      <c r="G391" s="99" t="s">
        <v>731</v>
      </c>
      <c r="H391" s="99"/>
      <c r="I391" s="74">
        <f>I392</f>
        <v>370.1</v>
      </c>
      <c r="J391" s="74">
        <f>J392</f>
        <v>370.1</v>
      </c>
      <c r="K391" s="271">
        <f t="shared" si="59"/>
        <v>0</v>
      </c>
      <c r="L391" s="74">
        <f>L392</f>
        <v>370.1</v>
      </c>
      <c r="M391" s="74">
        <f>M392</f>
        <v>370.1</v>
      </c>
    </row>
    <row r="392" spans="1:13" s="156" customFormat="1" ht="30">
      <c r="A392" s="115" t="s">
        <v>688</v>
      </c>
      <c r="B392" s="274" t="s">
        <v>23</v>
      </c>
      <c r="C392" s="100" t="s">
        <v>90</v>
      </c>
      <c r="D392" s="99" t="s">
        <v>187</v>
      </c>
      <c r="E392" s="99" t="s">
        <v>131</v>
      </c>
      <c r="F392" s="99" t="s">
        <v>160</v>
      </c>
      <c r="G392" s="99" t="s">
        <v>731</v>
      </c>
      <c r="H392" s="99" t="s">
        <v>689</v>
      </c>
      <c r="I392" s="74">
        <f>70+300.1</f>
        <v>370.1</v>
      </c>
      <c r="J392" s="74">
        <f>70+300.1</f>
        <v>370.1</v>
      </c>
      <c r="K392" s="271">
        <f t="shared" si="59"/>
        <v>0</v>
      </c>
      <c r="L392" s="74">
        <f>70+300.1</f>
        <v>370.1</v>
      </c>
      <c r="M392" s="74">
        <f>70+300.1</f>
        <v>370.1</v>
      </c>
    </row>
    <row r="393" spans="1:13" s="272" customFormat="1" ht="30.75" customHeight="1">
      <c r="A393" s="97" t="s">
        <v>192</v>
      </c>
      <c r="B393" s="279">
        <v>110</v>
      </c>
      <c r="C393" s="95" t="s">
        <v>90</v>
      </c>
      <c r="D393" s="67" t="s">
        <v>187</v>
      </c>
      <c r="E393" s="67" t="s">
        <v>132</v>
      </c>
      <c r="F393" s="67" t="s">
        <v>149</v>
      </c>
      <c r="G393" s="67" t="s">
        <v>150</v>
      </c>
      <c r="H393" s="67"/>
      <c r="I393" s="36">
        <f>I394</f>
        <v>1746.3999999999999</v>
      </c>
      <c r="J393" s="36">
        <f>J394</f>
        <v>1746.3999999999999</v>
      </c>
      <c r="K393" s="267">
        <f aca="true" t="shared" si="60" ref="K393:K411">J393-I393</f>
        <v>0</v>
      </c>
      <c r="L393" s="36">
        <f>L394</f>
        <v>445.8</v>
      </c>
      <c r="M393" s="36">
        <f>M394</f>
        <v>445.8</v>
      </c>
    </row>
    <row r="394" spans="1:13" s="272" customFormat="1" ht="28.5">
      <c r="A394" s="97" t="s">
        <v>757</v>
      </c>
      <c r="B394" s="279">
        <v>110</v>
      </c>
      <c r="C394" s="95" t="s">
        <v>90</v>
      </c>
      <c r="D394" s="67" t="s">
        <v>187</v>
      </c>
      <c r="E394" s="67" t="s">
        <v>132</v>
      </c>
      <c r="F394" s="67" t="s">
        <v>147</v>
      </c>
      <c r="G394" s="67" t="s">
        <v>150</v>
      </c>
      <c r="H394" s="67"/>
      <c r="I394" s="36">
        <f>I395+I397+I399</f>
        <v>1746.3999999999999</v>
      </c>
      <c r="J394" s="36">
        <f>J395+J397+J399</f>
        <v>1746.3999999999999</v>
      </c>
      <c r="K394" s="267">
        <f t="shared" si="60"/>
        <v>0</v>
      </c>
      <c r="L394" s="36">
        <f>L395+L397+L399</f>
        <v>445.8</v>
      </c>
      <c r="M394" s="36">
        <f>M395+M397+M399</f>
        <v>445.8</v>
      </c>
    </row>
    <row r="395" spans="1:13" s="156" customFormat="1" ht="45">
      <c r="A395" s="107" t="s">
        <v>814</v>
      </c>
      <c r="B395" s="274">
        <v>110</v>
      </c>
      <c r="C395" s="100" t="s">
        <v>90</v>
      </c>
      <c r="D395" s="99" t="s">
        <v>187</v>
      </c>
      <c r="E395" s="99" t="s">
        <v>132</v>
      </c>
      <c r="F395" s="99" t="s">
        <v>147</v>
      </c>
      <c r="G395" s="99" t="s">
        <v>197</v>
      </c>
      <c r="H395" s="99"/>
      <c r="I395" s="74">
        <f>I396</f>
        <v>1392.8</v>
      </c>
      <c r="J395" s="74">
        <f>J396</f>
        <v>1392.8</v>
      </c>
      <c r="K395" s="271">
        <f t="shared" si="60"/>
        <v>0</v>
      </c>
      <c r="L395" s="74">
        <f>L396</f>
        <v>392.8</v>
      </c>
      <c r="M395" s="74">
        <f>M396</f>
        <v>392.8</v>
      </c>
    </row>
    <row r="396" spans="1:13" s="156" customFormat="1" ht="30">
      <c r="A396" s="107" t="s">
        <v>688</v>
      </c>
      <c r="B396" s="274">
        <v>110</v>
      </c>
      <c r="C396" s="100" t="s">
        <v>90</v>
      </c>
      <c r="D396" s="99" t="s">
        <v>187</v>
      </c>
      <c r="E396" s="99" t="s">
        <v>132</v>
      </c>
      <c r="F396" s="99" t="s">
        <v>147</v>
      </c>
      <c r="G396" s="99" t="s">
        <v>197</v>
      </c>
      <c r="H396" s="99" t="s">
        <v>689</v>
      </c>
      <c r="I396" s="74">
        <f>392.8+1000</f>
        <v>1392.8</v>
      </c>
      <c r="J396" s="74">
        <f>392.8+1000</f>
        <v>1392.8</v>
      </c>
      <c r="K396" s="271">
        <f t="shared" si="60"/>
        <v>0</v>
      </c>
      <c r="L396" s="74">
        <v>392.8</v>
      </c>
      <c r="M396" s="74">
        <v>392.8</v>
      </c>
    </row>
    <row r="397" spans="1:13" s="156" customFormat="1" ht="15">
      <c r="A397" s="107" t="s">
        <v>195</v>
      </c>
      <c r="B397" s="274">
        <v>110</v>
      </c>
      <c r="C397" s="100" t="s">
        <v>90</v>
      </c>
      <c r="D397" s="99" t="s">
        <v>187</v>
      </c>
      <c r="E397" s="99" t="s">
        <v>132</v>
      </c>
      <c r="F397" s="99" t="s">
        <v>147</v>
      </c>
      <c r="G397" s="99" t="s">
        <v>196</v>
      </c>
      <c r="H397" s="99"/>
      <c r="I397" s="74">
        <f>I398</f>
        <v>53.6</v>
      </c>
      <c r="J397" s="74">
        <f>J398</f>
        <v>53.6</v>
      </c>
      <c r="K397" s="271">
        <f t="shared" si="60"/>
        <v>0</v>
      </c>
      <c r="L397" s="74">
        <f>L398</f>
        <v>53</v>
      </c>
      <c r="M397" s="74">
        <f>M398</f>
        <v>53</v>
      </c>
    </row>
    <row r="398" spans="1:13" s="156" customFormat="1" ht="30">
      <c r="A398" s="107" t="s">
        <v>688</v>
      </c>
      <c r="B398" s="274">
        <v>110</v>
      </c>
      <c r="C398" s="100" t="s">
        <v>90</v>
      </c>
      <c r="D398" s="99" t="s">
        <v>187</v>
      </c>
      <c r="E398" s="99" t="s">
        <v>132</v>
      </c>
      <c r="F398" s="99" t="s">
        <v>147</v>
      </c>
      <c r="G398" s="99" t="s">
        <v>196</v>
      </c>
      <c r="H398" s="99" t="s">
        <v>689</v>
      </c>
      <c r="I398" s="74">
        <v>53.6</v>
      </c>
      <c r="J398" s="74">
        <v>53.6</v>
      </c>
      <c r="K398" s="271">
        <f t="shared" si="60"/>
        <v>0</v>
      </c>
      <c r="L398" s="74">
        <v>53</v>
      </c>
      <c r="M398" s="74">
        <v>53</v>
      </c>
    </row>
    <row r="399" spans="1:13" s="156" customFormat="1" ht="18.75" customHeight="1">
      <c r="A399" s="107" t="s">
        <v>1082</v>
      </c>
      <c r="B399" s="274">
        <v>110</v>
      </c>
      <c r="C399" s="100" t="s">
        <v>90</v>
      </c>
      <c r="D399" s="99" t="s">
        <v>187</v>
      </c>
      <c r="E399" s="99" t="s">
        <v>132</v>
      </c>
      <c r="F399" s="99" t="s">
        <v>147</v>
      </c>
      <c r="G399" s="99" t="s">
        <v>1083</v>
      </c>
      <c r="H399" s="99"/>
      <c r="I399" s="74">
        <f>I400</f>
        <v>300</v>
      </c>
      <c r="J399" s="74">
        <f>J400</f>
        <v>300</v>
      </c>
      <c r="K399" s="271">
        <f t="shared" si="60"/>
        <v>0</v>
      </c>
      <c r="L399" s="74">
        <f>L400</f>
        <v>0</v>
      </c>
      <c r="M399" s="74">
        <f>M400</f>
        <v>0</v>
      </c>
    </row>
    <row r="400" spans="1:13" s="156" customFormat="1" ht="36" customHeight="1">
      <c r="A400" s="107" t="s">
        <v>688</v>
      </c>
      <c r="B400" s="274">
        <v>110</v>
      </c>
      <c r="C400" s="100" t="s">
        <v>90</v>
      </c>
      <c r="D400" s="99" t="s">
        <v>187</v>
      </c>
      <c r="E400" s="99" t="s">
        <v>132</v>
      </c>
      <c r="F400" s="99" t="s">
        <v>147</v>
      </c>
      <c r="G400" s="99" t="s">
        <v>1083</v>
      </c>
      <c r="H400" s="99" t="s">
        <v>689</v>
      </c>
      <c r="I400" s="74">
        <v>300</v>
      </c>
      <c r="J400" s="74">
        <v>300</v>
      </c>
      <c r="K400" s="271">
        <f t="shared" si="60"/>
        <v>0</v>
      </c>
      <c r="L400" s="74"/>
      <c r="M400" s="74"/>
    </row>
    <row r="401" spans="1:13" s="156" customFormat="1" ht="42.75">
      <c r="A401" s="97" t="s">
        <v>200</v>
      </c>
      <c r="B401" s="279">
        <v>110</v>
      </c>
      <c r="C401" s="95" t="s">
        <v>90</v>
      </c>
      <c r="D401" s="67" t="s">
        <v>187</v>
      </c>
      <c r="E401" s="67" t="s">
        <v>134</v>
      </c>
      <c r="F401" s="67" t="s">
        <v>149</v>
      </c>
      <c r="G401" s="67" t="s">
        <v>150</v>
      </c>
      <c r="H401" s="99"/>
      <c r="I401" s="36">
        <f aca="true" t="shared" si="61" ref="I401:M403">I402</f>
        <v>84487.20000000001</v>
      </c>
      <c r="J401" s="36">
        <f t="shared" si="61"/>
        <v>84601.70000000001</v>
      </c>
      <c r="K401" s="267">
        <f t="shared" si="60"/>
        <v>114.5</v>
      </c>
      <c r="L401" s="36">
        <f t="shared" si="61"/>
        <v>83935.3</v>
      </c>
      <c r="M401" s="36">
        <f t="shared" si="61"/>
        <v>88307.6</v>
      </c>
    </row>
    <row r="402" spans="1:13" s="156" customFormat="1" ht="42.75">
      <c r="A402" s="110" t="s">
        <v>833</v>
      </c>
      <c r="B402" s="279">
        <v>110</v>
      </c>
      <c r="C402" s="95" t="s">
        <v>90</v>
      </c>
      <c r="D402" s="67" t="s">
        <v>187</v>
      </c>
      <c r="E402" s="67" t="s">
        <v>134</v>
      </c>
      <c r="F402" s="67" t="s">
        <v>147</v>
      </c>
      <c r="G402" s="67" t="s">
        <v>150</v>
      </c>
      <c r="H402" s="99"/>
      <c r="I402" s="36">
        <f t="shared" si="61"/>
        <v>84487.20000000001</v>
      </c>
      <c r="J402" s="36">
        <f t="shared" si="61"/>
        <v>84601.70000000001</v>
      </c>
      <c r="K402" s="267">
        <f t="shared" si="60"/>
        <v>114.5</v>
      </c>
      <c r="L402" s="36">
        <f t="shared" si="61"/>
        <v>83935.3</v>
      </c>
      <c r="M402" s="36">
        <f t="shared" si="61"/>
        <v>88307.6</v>
      </c>
    </row>
    <row r="403" spans="1:13" s="156" customFormat="1" ht="15">
      <c r="A403" s="107" t="s">
        <v>193</v>
      </c>
      <c r="B403" s="274">
        <v>110</v>
      </c>
      <c r="C403" s="100" t="s">
        <v>90</v>
      </c>
      <c r="D403" s="99" t="s">
        <v>187</v>
      </c>
      <c r="E403" s="99" t="s">
        <v>134</v>
      </c>
      <c r="F403" s="99" t="s">
        <v>147</v>
      </c>
      <c r="G403" s="99" t="s">
        <v>194</v>
      </c>
      <c r="H403" s="99"/>
      <c r="I403" s="74">
        <f t="shared" si="61"/>
        <v>84487.20000000001</v>
      </c>
      <c r="J403" s="74">
        <f t="shared" si="61"/>
        <v>84601.70000000001</v>
      </c>
      <c r="K403" s="271">
        <f t="shared" si="60"/>
        <v>114.5</v>
      </c>
      <c r="L403" s="74">
        <f t="shared" si="61"/>
        <v>83935.3</v>
      </c>
      <c r="M403" s="74">
        <f t="shared" si="61"/>
        <v>88307.6</v>
      </c>
    </row>
    <row r="404" spans="1:13" s="156" customFormat="1" ht="30">
      <c r="A404" s="102" t="s">
        <v>688</v>
      </c>
      <c r="B404" s="274">
        <v>110</v>
      </c>
      <c r="C404" s="100" t="s">
        <v>90</v>
      </c>
      <c r="D404" s="99" t="s">
        <v>187</v>
      </c>
      <c r="E404" s="99" t="s">
        <v>134</v>
      </c>
      <c r="F404" s="99" t="s">
        <v>147</v>
      </c>
      <c r="G404" s="99" t="s">
        <v>194</v>
      </c>
      <c r="H404" s="99" t="s">
        <v>689</v>
      </c>
      <c r="I404" s="74">
        <f>89479.1-4991.9</f>
        <v>84487.20000000001</v>
      </c>
      <c r="J404" s="74">
        <f>89479.1-4991.9+114.5</f>
        <v>84601.70000000001</v>
      </c>
      <c r="K404" s="271">
        <f t="shared" si="60"/>
        <v>114.5</v>
      </c>
      <c r="L404" s="74">
        <f>90043.2-6107.9</f>
        <v>83935.3</v>
      </c>
      <c r="M404" s="74">
        <f>94745.1-6437.5</f>
        <v>88307.6</v>
      </c>
    </row>
    <row r="405" spans="1:13" s="156" customFormat="1" ht="31.5" customHeight="1">
      <c r="A405" s="127" t="s">
        <v>222</v>
      </c>
      <c r="B405" s="266">
        <v>110</v>
      </c>
      <c r="C405" s="95" t="s">
        <v>90</v>
      </c>
      <c r="D405" s="95" t="s">
        <v>223</v>
      </c>
      <c r="E405" s="95" t="s">
        <v>148</v>
      </c>
      <c r="F405" s="95" t="s">
        <v>149</v>
      </c>
      <c r="G405" s="95" t="s">
        <v>150</v>
      </c>
      <c r="H405" s="67"/>
      <c r="I405" s="36">
        <f aca="true" t="shared" si="62" ref="I405:J408">I406</f>
        <v>4991.9</v>
      </c>
      <c r="J405" s="36">
        <f t="shared" si="62"/>
        <v>4991.9</v>
      </c>
      <c r="K405" s="267">
        <f t="shared" si="60"/>
        <v>0</v>
      </c>
      <c r="L405" s="36">
        <f aca="true" t="shared" si="63" ref="L405:M408">L406</f>
        <v>6107.9</v>
      </c>
      <c r="M405" s="36">
        <f t="shared" si="63"/>
        <v>6437.5</v>
      </c>
    </row>
    <row r="406" spans="1:13" s="156" customFormat="1" ht="28.5">
      <c r="A406" s="127" t="s">
        <v>472</v>
      </c>
      <c r="B406" s="266">
        <v>110</v>
      </c>
      <c r="C406" s="95" t="s">
        <v>90</v>
      </c>
      <c r="D406" s="95" t="s">
        <v>223</v>
      </c>
      <c r="E406" s="95" t="s">
        <v>134</v>
      </c>
      <c r="F406" s="95" t="s">
        <v>149</v>
      </c>
      <c r="G406" s="95" t="s">
        <v>150</v>
      </c>
      <c r="H406" s="67"/>
      <c r="I406" s="36">
        <f t="shared" si="62"/>
        <v>4991.9</v>
      </c>
      <c r="J406" s="36">
        <f t="shared" si="62"/>
        <v>4991.9</v>
      </c>
      <c r="K406" s="267">
        <f t="shared" si="60"/>
        <v>0</v>
      </c>
      <c r="L406" s="36">
        <f t="shared" si="63"/>
        <v>6107.9</v>
      </c>
      <c r="M406" s="36">
        <f t="shared" si="63"/>
        <v>6437.5</v>
      </c>
    </row>
    <row r="407" spans="1:13" s="156" customFormat="1" ht="28.5">
      <c r="A407" s="125" t="s">
        <v>259</v>
      </c>
      <c r="B407" s="266">
        <v>110</v>
      </c>
      <c r="C407" s="95" t="s">
        <v>90</v>
      </c>
      <c r="D407" s="95" t="s">
        <v>223</v>
      </c>
      <c r="E407" s="95" t="s">
        <v>134</v>
      </c>
      <c r="F407" s="95" t="s">
        <v>147</v>
      </c>
      <c r="G407" s="95" t="s">
        <v>150</v>
      </c>
      <c r="H407" s="67"/>
      <c r="I407" s="36">
        <f t="shared" si="62"/>
        <v>4991.9</v>
      </c>
      <c r="J407" s="36">
        <f t="shared" si="62"/>
        <v>4991.9</v>
      </c>
      <c r="K407" s="267">
        <f t="shared" si="60"/>
        <v>0</v>
      </c>
      <c r="L407" s="36">
        <f t="shared" si="63"/>
        <v>6107.9</v>
      </c>
      <c r="M407" s="36">
        <f t="shared" si="63"/>
        <v>6437.5</v>
      </c>
    </row>
    <row r="408" spans="1:13" s="156" customFormat="1" ht="30">
      <c r="A408" s="109" t="s">
        <v>1003</v>
      </c>
      <c r="B408" s="270">
        <v>110</v>
      </c>
      <c r="C408" s="100" t="s">
        <v>90</v>
      </c>
      <c r="D408" s="100" t="s">
        <v>223</v>
      </c>
      <c r="E408" s="100" t="s">
        <v>134</v>
      </c>
      <c r="F408" s="100" t="s">
        <v>147</v>
      </c>
      <c r="G408" s="100" t="s">
        <v>1004</v>
      </c>
      <c r="H408" s="99"/>
      <c r="I408" s="74">
        <f t="shared" si="62"/>
        <v>4991.9</v>
      </c>
      <c r="J408" s="74">
        <f t="shared" si="62"/>
        <v>4991.9</v>
      </c>
      <c r="K408" s="271">
        <f t="shared" si="60"/>
        <v>0</v>
      </c>
      <c r="L408" s="74">
        <f t="shared" si="63"/>
        <v>6107.9</v>
      </c>
      <c r="M408" s="74">
        <f t="shared" si="63"/>
        <v>6437.5</v>
      </c>
    </row>
    <row r="409" spans="1:13" s="156" customFormat="1" ht="30">
      <c r="A409" s="111" t="s">
        <v>688</v>
      </c>
      <c r="B409" s="270">
        <v>110</v>
      </c>
      <c r="C409" s="100" t="s">
        <v>90</v>
      </c>
      <c r="D409" s="100" t="s">
        <v>223</v>
      </c>
      <c r="E409" s="100" t="s">
        <v>134</v>
      </c>
      <c r="F409" s="100" t="s">
        <v>147</v>
      </c>
      <c r="G409" s="100" t="s">
        <v>1004</v>
      </c>
      <c r="H409" s="99" t="s">
        <v>689</v>
      </c>
      <c r="I409" s="74">
        <v>4991.9</v>
      </c>
      <c r="J409" s="74">
        <v>4991.9</v>
      </c>
      <c r="K409" s="271">
        <f t="shared" si="60"/>
        <v>0</v>
      </c>
      <c r="L409" s="74">
        <v>6107.9</v>
      </c>
      <c r="M409" s="74">
        <v>6437.5</v>
      </c>
    </row>
    <row r="410" spans="1:13" s="268" customFormat="1" ht="14.25" hidden="1">
      <c r="A410" s="127" t="s">
        <v>424</v>
      </c>
      <c r="B410" s="279">
        <v>110</v>
      </c>
      <c r="C410" s="95" t="s">
        <v>90</v>
      </c>
      <c r="D410" s="67" t="s">
        <v>425</v>
      </c>
      <c r="E410" s="67" t="s">
        <v>148</v>
      </c>
      <c r="F410" s="67" t="s">
        <v>149</v>
      </c>
      <c r="G410" s="67" t="s">
        <v>150</v>
      </c>
      <c r="H410" s="67"/>
      <c r="I410" s="36"/>
      <c r="J410" s="36">
        <f>J411</f>
        <v>0</v>
      </c>
      <c r="K410" s="267">
        <f t="shared" si="60"/>
        <v>0</v>
      </c>
      <c r="L410" s="36">
        <f aca="true" t="shared" si="64" ref="L410:M413">L411</f>
        <v>0</v>
      </c>
      <c r="M410" s="36">
        <f t="shared" si="64"/>
        <v>0</v>
      </c>
    </row>
    <row r="411" spans="1:13" s="268" customFormat="1" ht="14.25" hidden="1">
      <c r="A411" s="124" t="s">
        <v>399</v>
      </c>
      <c r="B411" s="266">
        <v>110</v>
      </c>
      <c r="C411" s="95" t="s">
        <v>90</v>
      </c>
      <c r="D411" s="67" t="s">
        <v>425</v>
      </c>
      <c r="E411" s="67" t="s">
        <v>329</v>
      </c>
      <c r="F411" s="67" t="s">
        <v>149</v>
      </c>
      <c r="G411" s="67" t="s">
        <v>150</v>
      </c>
      <c r="H411" s="67"/>
      <c r="I411" s="36"/>
      <c r="J411" s="36">
        <f>J412</f>
        <v>0</v>
      </c>
      <c r="K411" s="267">
        <f t="shared" si="60"/>
        <v>0</v>
      </c>
      <c r="L411" s="36">
        <f t="shared" si="64"/>
        <v>0</v>
      </c>
      <c r="M411" s="36">
        <f t="shared" si="64"/>
        <v>0</v>
      </c>
    </row>
    <row r="412" spans="1:13" s="268" customFormat="1" ht="25.5" customHeight="1" hidden="1">
      <c r="A412" s="125" t="s">
        <v>399</v>
      </c>
      <c r="B412" s="266">
        <v>110</v>
      </c>
      <c r="C412" s="95" t="s">
        <v>90</v>
      </c>
      <c r="D412" s="67" t="s">
        <v>425</v>
      </c>
      <c r="E412" s="67" t="s">
        <v>329</v>
      </c>
      <c r="F412" s="67" t="s">
        <v>147</v>
      </c>
      <c r="G412" s="67" t="s">
        <v>150</v>
      </c>
      <c r="H412" s="67"/>
      <c r="I412" s="36"/>
      <c r="J412" s="36">
        <f>J413</f>
        <v>0</v>
      </c>
      <c r="K412" s="36">
        <f>K413</f>
        <v>0</v>
      </c>
      <c r="L412" s="36">
        <f t="shared" si="64"/>
        <v>0</v>
      </c>
      <c r="M412" s="36">
        <f t="shared" si="64"/>
        <v>0</v>
      </c>
    </row>
    <row r="413" spans="1:13" s="268" customFormat="1" ht="26.25" customHeight="1" hidden="1">
      <c r="A413" s="111" t="s">
        <v>201</v>
      </c>
      <c r="B413" s="270">
        <v>110</v>
      </c>
      <c r="C413" s="100" t="s">
        <v>90</v>
      </c>
      <c r="D413" s="99" t="s">
        <v>425</v>
      </c>
      <c r="E413" s="99" t="s">
        <v>329</v>
      </c>
      <c r="F413" s="99" t="s">
        <v>147</v>
      </c>
      <c r="G413" s="99" t="s">
        <v>202</v>
      </c>
      <c r="H413" s="99"/>
      <c r="I413" s="74"/>
      <c r="J413" s="74">
        <f>J414</f>
        <v>0</v>
      </c>
      <c r="K413" s="271">
        <f aca="true" t="shared" si="65" ref="K413:K423">J413-I413</f>
        <v>0</v>
      </c>
      <c r="L413" s="74">
        <f t="shared" si="64"/>
        <v>0</v>
      </c>
      <c r="M413" s="74">
        <f t="shared" si="64"/>
        <v>0</v>
      </c>
    </row>
    <row r="414" spans="1:13" s="268" customFormat="1" ht="27.75" customHeight="1" hidden="1">
      <c r="A414" s="111" t="s">
        <v>688</v>
      </c>
      <c r="B414" s="270">
        <v>110</v>
      </c>
      <c r="C414" s="100" t="s">
        <v>90</v>
      </c>
      <c r="D414" s="99" t="s">
        <v>425</v>
      </c>
      <c r="E414" s="99" t="s">
        <v>329</v>
      </c>
      <c r="F414" s="99" t="s">
        <v>147</v>
      </c>
      <c r="G414" s="99" t="s">
        <v>202</v>
      </c>
      <c r="H414" s="99" t="s">
        <v>689</v>
      </c>
      <c r="I414" s="74"/>
      <c r="J414" s="74"/>
      <c r="K414" s="271">
        <f t="shared" si="65"/>
        <v>0</v>
      </c>
      <c r="L414" s="74">
        <f>2571.2-2571.2</f>
        <v>0</v>
      </c>
      <c r="M414" s="74">
        <f>4401-4401</f>
        <v>0</v>
      </c>
    </row>
    <row r="415" spans="1:13" s="268" customFormat="1" ht="14.25">
      <c r="A415" s="127" t="s">
        <v>93</v>
      </c>
      <c r="B415" s="266" t="s">
        <v>23</v>
      </c>
      <c r="C415" s="95" t="s">
        <v>94</v>
      </c>
      <c r="D415" s="67"/>
      <c r="E415" s="67"/>
      <c r="F415" s="67"/>
      <c r="G415" s="67"/>
      <c r="H415" s="67"/>
      <c r="I415" s="36">
        <f>I416</f>
        <v>617.8</v>
      </c>
      <c r="J415" s="36">
        <f>J416</f>
        <v>617.8</v>
      </c>
      <c r="K415" s="267">
        <f t="shared" si="65"/>
        <v>0</v>
      </c>
      <c r="L415" s="36">
        <f>L416</f>
        <v>378</v>
      </c>
      <c r="M415" s="36">
        <f>M416</f>
        <v>378</v>
      </c>
    </row>
    <row r="416" spans="1:13" s="268" customFormat="1" ht="28.5">
      <c r="A416" s="110" t="s">
        <v>763</v>
      </c>
      <c r="B416" s="266" t="s">
        <v>23</v>
      </c>
      <c r="C416" s="95" t="s">
        <v>94</v>
      </c>
      <c r="D416" s="67" t="s">
        <v>284</v>
      </c>
      <c r="E416" s="67" t="s">
        <v>148</v>
      </c>
      <c r="F416" s="67" t="s">
        <v>149</v>
      </c>
      <c r="G416" s="67" t="s">
        <v>150</v>
      </c>
      <c r="H416" s="67"/>
      <c r="I416" s="36">
        <f>I417+I437</f>
        <v>617.8</v>
      </c>
      <c r="J416" s="36">
        <f>J417+J437</f>
        <v>617.8</v>
      </c>
      <c r="K416" s="267">
        <f t="shared" si="65"/>
        <v>0</v>
      </c>
      <c r="L416" s="36">
        <f>L417+L437</f>
        <v>378</v>
      </c>
      <c r="M416" s="36">
        <f>M417+M437</f>
        <v>378</v>
      </c>
    </row>
    <row r="417" spans="1:13" s="268" customFormat="1" ht="28.5">
      <c r="A417" s="110" t="s">
        <v>765</v>
      </c>
      <c r="B417" s="266" t="s">
        <v>23</v>
      </c>
      <c r="C417" s="95" t="s">
        <v>94</v>
      </c>
      <c r="D417" s="67" t="s">
        <v>284</v>
      </c>
      <c r="E417" s="67" t="s">
        <v>131</v>
      </c>
      <c r="F417" s="67" t="s">
        <v>149</v>
      </c>
      <c r="G417" s="67" t="s">
        <v>150</v>
      </c>
      <c r="H417" s="67"/>
      <c r="I417" s="36">
        <f>I418+I421+I426+I429+I432</f>
        <v>581</v>
      </c>
      <c r="J417" s="36">
        <f>J418+J421+J426+J429+J432</f>
        <v>581</v>
      </c>
      <c r="K417" s="267">
        <f t="shared" si="65"/>
        <v>0</v>
      </c>
      <c r="L417" s="36">
        <f>L418+L421+L426+L429+L432</f>
        <v>341</v>
      </c>
      <c r="M417" s="36">
        <f>M418+M421+M426+M429+M432</f>
        <v>341</v>
      </c>
    </row>
    <row r="418" spans="1:13" s="268" customFormat="1" ht="28.5">
      <c r="A418" s="110" t="s">
        <v>764</v>
      </c>
      <c r="B418" s="266" t="s">
        <v>23</v>
      </c>
      <c r="C418" s="95" t="s">
        <v>94</v>
      </c>
      <c r="D418" s="67" t="s">
        <v>284</v>
      </c>
      <c r="E418" s="67" t="s">
        <v>131</v>
      </c>
      <c r="F418" s="67" t="s">
        <v>147</v>
      </c>
      <c r="G418" s="67" t="s">
        <v>150</v>
      </c>
      <c r="H418" s="67"/>
      <c r="I418" s="36">
        <f aca="true" t="shared" si="66" ref="I418:M419">I419</f>
        <v>72.4</v>
      </c>
      <c r="J418" s="36">
        <f t="shared" si="66"/>
        <v>72.4</v>
      </c>
      <c r="K418" s="267">
        <f t="shared" si="65"/>
        <v>0</v>
      </c>
      <c r="L418" s="36">
        <f t="shared" si="66"/>
        <v>74</v>
      </c>
      <c r="M418" s="36">
        <f t="shared" si="66"/>
        <v>74</v>
      </c>
    </row>
    <row r="419" spans="1:13" s="268" customFormat="1" ht="45">
      <c r="A419" s="115" t="s">
        <v>828</v>
      </c>
      <c r="B419" s="270" t="s">
        <v>23</v>
      </c>
      <c r="C419" s="100" t="s">
        <v>94</v>
      </c>
      <c r="D419" s="99" t="s">
        <v>284</v>
      </c>
      <c r="E419" s="99" t="s">
        <v>131</v>
      </c>
      <c r="F419" s="99" t="s">
        <v>147</v>
      </c>
      <c r="G419" s="99" t="s">
        <v>506</v>
      </c>
      <c r="H419" s="99"/>
      <c r="I419" s="74">
        <f t="shared" si="66"/>
        <v>72.4</v>
      </c>
      <c r="J419" s="74">
        <f t="shared" si="66"/>
        <v>72.4</v>
      </c>
      <c r="K419" s="271">
        <f t="shared" si="65"/>
        <v>0</v>
      </c>
      <c r="L419" s="74">
        <f t="shared" si="66"/>
        <v>74</v>
      </c>
      <c r="M419" s="74">
        <f t="shared" si="66"/>
        <v>74</v>
      </c>
    </row>
    <row r="420" spans="1:13" s="268" customFormat="1" ht="15">
      <c r="A420" s="111" t="s">
        <v>690</v>
      </c>
      <c r="B420" s="270" t="s">
        <v>23</v>
      </c>
      <c r="C420" s="100" t="s">
        <v>94</v>
      </c>
      <c r="D420" s="99" t="s">
        <v>284</v>
      </c>
      <c r="E420" s="99" t="s">
        <v>131</v>
      </c>
      <c r="F420" s="99" t="s">
        <v>147</v>
      </c>
      <c r="G420" s="99" t="s">
        <v>506</v>
      </c>
      <c r="H420" s="99" t="s">
        <v>691</v>
      </c>
      <c r="I420" s="74">
        <v>72.4</v>
      </c>
      <c r="J420" s="74">
        <v>72.4</v>
      </c>
      <c r="K420" s="271">
        <f t="shared" si="65"/>
        <v>0</v>
      </c>
      <c r="L420" s="74">
        <v>74</v>
      </c>
      <c r="M420" s="74">
        <v>74</v>
      </c>
    </row>
    <row r="421" spans="1:13" s="268" customFormat="1" ht="28.5">
      <c r="A421" s="116" t="s">
        <v>819</v>
      </c>
      <c r="B421" s="266" t="s">
        <v>23</v>
      </c>
      <c r="C421" s="95" t="s">
        <v>94</v>
      </c>
      <c r="D421" s="67" t="s">
        <v>284</v>
      </c>
      <c r="E421" s="67" t="s">
        <v>131</v>
      </c>
      <c r="F421" s="67" t="s">
        <v>160</v>
      </c>
      <c r="G421" s="67" t="s">
        <v>150</v>
      </c>
      <c r="H421" s="67"/>
      <c r="I421" s="36">
        <f>I422+I424</f>
        <v>323.6</v>
      </c>
      <c r="J421" s="36">
        <f>J422+J424</f>
        <v>323.6</v>
      </c>
      <c r="K421" s="271">
        <f t="shared" si="65"/>
        <v>0</v>
      </c>
      <c r="L421" s="36">
        <f>L422+L424</f>
        <v>76</v>
      </c>
      <c r="M421" s="36">
        <f>M422+M424</f>
        <v>76</v>
      </c>
    </row>
    <row r="422" spans="1:13" s="268" customFormat="1" ht="45">
      <c r="A422" s="111" t="s">
        <v>508</v>
      </c>
      <c r="B422" s="270" t="s">
        <v>23</v>
      </c>
      <c r="C422" s="100" t="s">
        <v>94</v>
      </c>
      <c r="D422" s="99" t="s">
        <v>284</v>
      </c>
      <c r="E422" s="99" t="s">
        <v>131</v>
      </c>
      <c r="F422" s="99" t="s">
        <v>160</v>
      </c>
      <c r="G422" s="99" t="s">
        <v>507</v>
      </c>
      <c r="H422" s="99"/>
      <c r="I422" s="74">
        <f>I423</f>
        <v>323.6</v>
      </c>
      <c r="J422" s="74">
        <f>J423</f>
        <v>323.6</v>
      </c>
      <c r="K422" s="271">
        <f t="shared" si="65"/>
        <v>0</v>
      </c>
      <c r="L422" s="74">
        <f>L423</f>
        <v>76</v>
      </c>
      <c r="M422" s="74">
        <f>M423</f>
        <v>76</v>
      </c>
    </row>
    <row r="423" spans="1:13" s="268" customFormat="1" ht="15">
      <c r="A423" s="111" t="s">
        <v>692</v>
      </c>
      <c r="B423" s="270" t="s">
        <v>23</v>
      </c>
      <c r="C423" s="100" t="s">
        <v>94</v>
      </c>
      <c r="D423" s="99" t="s">
        <v>284</v>
      </c>
      <c r="E423" s="99" t="s">
        <v>131</v>
      </c>
      <c r="F423" s="99" t="s">
        <v>160</v>
      </c>
      <c r="G423" s="99" t="s">
        <v>507</v>
      </c>
      <c r="H423" s="99" t="s">
        <v>691</v>
      </c>
      <c r="I423" s="74">
        <f>73.6+250</f>
        <v>323.6</v>
      </c>
      <c r="J423" s="74">
        <f>73.6+250</f>
        <v>323.6</v>
      </c>
      <c r="K423" s="271">
        <f t="shared" si="65"/>
        <v>0</v>
      </c>
      <c r="L423" s="74">
        <v>76</v>
      </c>
      <c r="M423" s="74">
        <v>76</v>
      </c>
    </row>
    <row r="424" spans="1:13" s="268" customFormat="1" ht="45" hidden="1">
      <c r="A424" s="111" t="s">
        <v>487</v>
      </c>
      <c r="B424" s="270">
        <v>110</v>
      </c>
      <c r="C424" s="100" t="s">
        <v>94</v>
      </c>
      <c r="D424" s="99" t="s">
        <v>284</v>
      </c>
      <c r="E424" s="99" t="s">
        <v>131</v>
      </c>
      <c r="F424" s="99" t="s">
        <v>160</v>
      </c>
      <c r="G424" s="99" t="s">
        <v>724</v>
      </c>
      <c r="H424" s="99"/>
      <c r="I424" s="74"/>
      <c r="J424" s="74">
        <f>J425</f>
        <v>0</v>
      </c>
      <c r="K424" s="271">
        <f>J424-I424</f>
        <v>0</v>
      </c>
      <c r="L424" s="74">
        <f>L425</f>
        <v>0</v>
      </c>
      <c r="M424" s="74">
        <f>M425</f>
        <v>0</v>
      </c>
    </row>
    <row r="425" spans="1:13" s="268" customFormat="1" ht="15" hidden="1">
      <c r="A425" s="111" t="s">
        <v>692</v>
      </c>
      <c r="B425" s="270">
        <v>110</v>
      </c>
      <c r="C425" s="100" t="s">
        <v>94</v>
      </c>
      <c r="D425" s="99" t="s">
        <v>284</v>
      </c>
      <c r="E425" s="99" t="s">
        <v>131</v>
      </c>
      <c r="F425" s="99" t="s">
        <v>160</v>
      </c>
      <c r="G425" s="99" t="s">
        <v>724</v>
      </c>
      <c r="H425" s="270">
        <v>500</v>
      </c>
      <c r="I425" s="74"/>
      <c r="J425" s="74"/>
      <c r="K425" s="271"/>
      <c r="L425" s="74"/>
      <c r="M425" s="74"/>
    </row>
    <row r="426" spans="1:13" s="268" customFormat="1" ht="28.5">
      <c r="A426" s="116" t="s">
        <v>766</v>
      </c>
      <c r="B426" s="266" t="s">
        <v>23</v>
      </c>
      <c r="C426" s="95" t="s">
        <v>94</v>
      </c>
      <c r="D426" s="67" t="s">
        <v>284</v>
      </c>
      <c r="E426" s="67" t="s">
        <v>131</v>
      </c>
      <c r="F426" s="67" t="s">
        <v>174</v>
      </c>
      <c r="G426" s="67" t="s">
        <v>150</v>
      </c>
      <c r="H426" s="67"/>
      <c r="I426" s="36">
        <f aca="true" t="shared" si="67" ref="I426:M427">I427</f>
        <v>99.9</v>
      </c>
      <c r="J426" s="36">
        <f t="shared" si="67"/>
        <v>99.9</v>
      </c>
      <c r="K426" s="267">
        <f aca="true" t="shared" si="68" ref="K426:K444">J426-I426</f>
        <v>0</v>
      </c>
      <c r="L426" s="36">
        <f t="shared" si="67"/>
        <v>100</v>
      </c>
      <c r="M426" s="36">
        <f t="shared" si="67"/>
        <v>100</v>
      </c>
    </row>
    <row r="427" spans="1:13" s="268" customFormat="1" ht="30">
      <c r="A427" s="102" t="s">
        <v>829</v>
      </c>
      <c r="B427" s="270" t="s">
        <v>23</v>
      </c>
      <c r="C427" s="100" t="s">
        <v>94</v>
      </c>
      <c r="D427" s="99" t="s">
        <v>284</v>
      </c>
      <c r="E427" s="99" t="s">
        <v>131</v>
      </c>
      <c r="F427" s="99" t="s">
        <v>174</v>
      </c>
      <c r="G427" s="99" t="s">
        <v>509</v>
      </c>
      <c r="H427" s="99"/>
      <c r="I427" s="74">
        <f t="shared" si="67"/>
        <v>99.9</v>
      </c>
      <c r="J427" s="74">
        <f t="shared" si="67"/>
        <v>99.9</v>
      </c>
      <c r="K427" s="271">
        <f t="shared" si="68"/>
        <v>0</v>
      </c>
      <c r="L427" s="74">
        <f t="shared" si="67"/>
        <v>100</v>
      </c>
      <c r="M427" s="74">
        <f t="shared" si="67"/>
        <v>100</v>
      </c>
    </row>
    <row r="428" spans="1:13" s="268" customFormat="1" ht="15">
      <c r="A428" s="111" t="s">
        <v>692</v>
      </c>
      <c r="B428" s="270" t="s">
        <v>23</v>
      </c>
      <c r="C428" s="100" t="s">
        <v>94</v>
      </c>
      <c r="D428" s="99" t="s">
        <v>284</v>
      </c>
      <c r="E428" s="99" t="s">
        <v>131</v>
      </c>
      <c r="F428" s="99" t="s">
        <v>174</v>
      </c>
      <c r="G428" s="99" t="s">
        <v>509</v>
      </c>
      <c r="H428" s="99" t="s">
        <v>691</v>
      </c>
      <c r="I428" s="74">
        <v>99.9</v>
      </c>
      <c r="J428" s="74">
        <v>99.9</v>
      </c>
      <c r="K428" s="271">
        <f t="shared" si="68"/>
        <v>0</v>
      </c>
      <c r="L428" s="74">
        <v>100</v>
      </c>
      <c r="M428" s="74">
        <v>100</v>
      </c>
    </row>
    <row r="429" spans="1:13" s="268" customFormat="1" ht="28.5">
      <c r="A429" s="116" t="s">
        <v>387</v>
      </c>
      <c r="B429" s="266" t="s">
        <v>23</v>
      </c>
      <c r="C429" s="95" t="s">
        <v>94</v>
      </c>
      <c r="D429" s="67" t="s">
        <v>284</v>
      </c>
      <c r="E429" s="67" t="s">
        <v>131</v>
      </c>
      <c r="F429" s="67" t="s">
        <v>187</v>
      </c>
      <c r="G429" s="67" t="s">
        <v>150</v>
      </c>
      <c r="H429" s="67"/>
      <c r="I429" s="36">
        <f aca="true" t="shared" si="69" ref="I429:M430">I430</f>
        <v>21</v>
      </c>
      <c r="J429" s="36">
        <f t="shared" si="69"/>
        <v>21</v>
      </c>
      <c r="K429" s="267">
        <f t="shared" si="68"/>
        <v>0</v>
      </c>
      <c r="L429" s="36">
        <f t="shared" si="69"/>
        <v>25</v>
      </c>
      <c r="M429" s="36">
        <f t="shared" si="69"/>
        <v>25</v>
      </c>
    </row>
    <row r="430" spans="1:13" s="269" customFormat="1" ht="30">
      <c r="A430" s="111" t="s">
        <v>801</v>
      </c>
      <c r="B430" s="270" t="s">
        <v>23</v>
      </c>
      <c r="C430" s="100" t="s">
        <v>94</v>
      </c>
      <c r="D430" s="99" t="s">
        <v>284</v>
      </c>
      <c r="E430" s="99" t="s">
        <v>131</v>
      </c>
      <c r="F430" s="99" t="s">
        <v>187</v>
      </c>
      <c r="G430" s="99" t="s">
        <v>510</v>
      </c>
      <c r="H430" s="99"/>
      <c r="I430" s="74">
        <f t="shared" si="69"/>
        <v>21</v>
      </c>
      <c r="J430" s="74">
        <f t="shared" si="69"/>
        <v>21</v>
      </c>
      <c r="K430" s="271">
        <f t="shared" si="68"/>
        <v>0</v>
      </c>
      <c r="L430" s="74">
        <f t="shared" si="69"/>
        <v>25</v>
      </c>
      <c r="M430" s="74">
        <f t="shared" si="69"/>
        <v>25</v>
      </c>
    </row>
    <row r="431" spans="1:13" s="156" customFormat="1" ht="15">
      <c r="A431" s="111" t="s">
        <v>692</v>
      </c>
      <c r="B431" s="270" t="s">
        <v>23</v>
      </c>
      <c r="C431" s="100" t="s">
        <v>94</v>
      </c>
      <c r="D431" s="99" t="s">
        <v>284</v>
      </c>
      <c r="E431" s="99" t="s">
        <v>131</v>
      </c>
      <c r="F431" s="99" t="s">
        <v>187</v>
      </c>
      <c r="G431" s="99" t="s">
        <v>510</v>
      </c>
      <c r="H431" s="99" t="s">
        <v>691</v>
      </c>
      <c r="I431" s="74">
        <v>21</v>
      </c>
      <c r="J431" s="74">
        <v>21</v>
      </c>
      <c r="K431" s="271">
        <f t="shared" si="68"/>
        <v>0</v>
      </c>
      <c r="L431" s="74">
        <v>25</v>
      </c>
      <c r="M431" s="74">
        <v>25</v>
      </c>
    </row>
    <row r="432" spans="1:13" s="272" customFormat="1" ht="42.75">
      <c r="A432" s="116" t="s">
        <v>767</v>
      </c>
      <c r="B432" s="266" t="s">
        <v>23</v>
      </c>
      <c r="C432" s="95" t="s">
        <v>94</v>
      </c>
      <c r="D432" s="67" t="s">
        <v>284</v>
      </c>
      <c r="E432" s="67" t="s">
        <v>131</v>
      </c>
      <c r="F432" s="67" t="s">
        <v>206</v>
      </c>
      <c r="G432" s="67" t="s">
        <v>150</v>
      </c>
      <c r="H432" s="67"/>
      <c r="I432" s="36">
        <f>I433+I435</f>
        <v>64.1</v>
      </c>
      <c r="J432" s="36">
        <f>J433+J435</f>
        <v>64.1</v>
      </c>
      <c r="K432" s="267">
        <f t="shared" si="68"/>
        <v>0</v>
      </c>
      <c r="L432" s="36">
        <f>L433+L435</f>
        <v>66</v>
      </c>
      <c r="M432" s="36">
        <f>M433+M435</f>
        <v>66</v>
      </c>
    </row>
    <row r="433" spans="1:13" s="156" customFormat="1" ht="45">
      <c r="A433" s="111" t="s">
        <v>514</v>
      </c>
      <c r="B433" s="270">
        <v>110</v>
      </c>
      <c r="C433" s="100" t="s">
        <v>94</v>
      </c>
      <c r="D433" s="99" t="s">
        <v>284</v>
      </c>
      <c r="E433" s="99" t="s">
        <v>131</v>
      </c>
      <c r="F433" s="99" t="s">
        <v>206</v>
      </c>
      <c r="G433" s="99" t="s">
        <v>511</v>
      </c>
      <c r="H433" s="99"/>
      <c r="I433" s="74">
        <f>I434</f>
        <v>40.4</v>
      </c>
      <c r="J433" s="74">
        <f>J434</f>
        <v>40.4</v>
      </c>
      <c r="K433" s="271">
        <f t="shared" si="68"/>
        <v>0</v>
      </c>
      <c r="L433" s="74">
        <f>L434</f>
        <v>42</v>
      </c>
      <c r="M433" s="74">
        <f>M434</f>
        <v>42</v>
      </c>
    </row>
    <row r="434" spans="1:13" s="156" customFormat="1" ht="15">
      <c r="A434" s="111" t="s">
        <v>692</v>
      </c>
      <c r="B434" s="270">
        <v>110</v>
      </c>
      <c r="C434" s="100" t="s">
        <v>94</v>
      </c>
      <c r="D434" s="99" t="s">
        <v>284</v>
      </c>
      <c r="E434" s="99" t="s">
        <v>131</v>
      </c>
      <c r="F434" s="99" t="s">
        <v>206</v>
      </c>
      <c r="G434" s="99" t="s">
        <v>511</v>
      </c>
      <c r="H434" s="99" t="s">
        <v>691</v>
      </c>
      <c r="I434" s="74">
        <v>40.4</v>
      </c>
      <c r="J434" s="74">
        <v>40.4</v>
      </c>
      <c r="K434" s="271">
        <f t="shared" si="68"/>
        <v>0</v>
      </c>
      <c r="L434" s="74">
        <v>42</v>
      </c>
      <c r="M434" s="74">
        <v>42</v>
      </c>
    </row>
    <row r="435" spans="1:13" s="268" customFormat="1" ht="15">
      <c r="A435" s="111" t="s">
        <v>388</v>
      </c>
      <c r="B435" s="270">
        <v>110</v>
      </c>
      <c r="C435" s="100" t="s">
        <v>94</v>
      </c>
      <c r="D435" s="99" t="s">
        <v>284</v>
      </c>
      <c r="E435" s="99" t="s">
        <v>131</v>
      </c>
      <c r="F435" s="99" t="s">
        <v>206</v>
      </c>
      <c r="G435" s="99" t="s">
        <v>389</v>
      </c>
      <c r="H435" s="99"/>
      <c r="I435" s="74">
        <f>I436</f>
        <v>23.7</v>
      </c>
      <c r="J435" s="74">
        <f>J436</f>
        <v>23.7</v>
      </c>
      <c r="K435" s="271">
        <f t="shared" si="68"/>
        <v>0</v>
      </c>
      <c r="L435" s="74">
        <f>L436</f>
        <v>24</v>
      </c>
      <c r="M435" s="74">
        <f>M436</f>
        <v>24</v>
      </c>
    </row>
    <row r="436" spans="1:13" s="269" customFormat="1" ht="15">
      <c r="A436" s="111" t="s">
        <v>692</v>
      </c>
      <c r="B436" s="270">
        <v>110</v>
      </c>
      <c r="C436" s="100" t="s">
        <v>94</v>
      </c>
      <c r="D436" s="99" t="s">
        <v>284</v>
      </c>
      <c r="E436" s="99" t="s">
        <v>131</v>
      </c>
      <c r="F436" s="99" t="s">
        <v>206</v>
      </c>
      <c r="G436" s="99" t="s">
        <v>389</v>
      </c>
      <c r="H436" s="99" t="s">
        <v>691</v>
      </c>
      <c r="I436" s="74">
        <v>23.7</v>
      </c>
      <c r="J436" s="74">
        <v>23.7</v>
      </c>
      <c r="K436" s="271">
        <f t="shared" si="68"/>
        <v>0</v>
      </c>
      <c r="L436" s="74">
        <v>24</v>
      </c>
      <c r="M436" s="74">
        <v>24</v>
      </c>
    </row>
    <row r="437" spans="1:13" s="269" customFormat="1" ht="28.5">
      <c r="A437" s="124" t="s">
        <v>390</v>
      </c>
      <c r="B437" s="266" t="s">
        <v>23</v>
      </c>
      <c r="C437" s="95" t="s">
        <v>94</v>
      </c>
      <c r="D437" s="67" t="s">
        <v>284</v>
      </c>
      <c r="E437" s="67" t="s">
        <v>132</v>
      </c>
      <c r="F437" s="67" t="s">
        <v>149</v>
      </c>
      <c r="G437" s="67" t="s">
        <v>150</v>
      </c>
      <c r="H437" s="67"/>
      <c r="I437" s="36">
        <f>I438</f>
        <v>36.8</v>
      </c>
      <c r="J437" s="36">
        <f>J438</f>
        <v>36.8</v>
      </c>
      <c r="K437" s="267">
        <f t="shared" si="68"/>
        <v>0</v>
      </c>
      <c r="L437" s="36">
        <f>L438</f>
        <v>37</v>
      </c>
      <c r="M437" s="36">
        <f>M438</f>
        <v>37</v>
      </c>
    </row>
    <row r="438" spans="1:13" s="268" customFormat="1" ht="33.75" customHeight="1">
      <c r="A438" s="125" t="s">
        <v>768</v>
      </c>
      <c r="B438" s="266" t="s">
        <v>23</v>
      </c>
      <c r="C438" s="95" t="s">
        <v>94</v>
      </c>
      <c r="D438" s="67" t="s">
        <v>284</v>
      </c>
      <c r="E438" s="67" t="s">
        <v>132</v>
      </c>
      <c r="F438" s="67" t="s">
        <v>147</v>
      </c>
      <c r="G438" s="67" t="s">
        <v>150</v>
      </c>
      <c r="H438" s="67"/>
      <c r="I438" s="36">
        <f>I439+I441</f>
        <v>36.8</v>
      </c>
      <c r="J438" s="36">
        <f>J439+J441</f>
        <v>36.8</v>
      </c>
      <c r="K438" s="267">
        <f t="shared" si="68"/>
        <v>0</v>
      </c>
      <c r="L438" s="36">
        <f>L439+L441</f>
        <v>37</v>
      </c>
      <c r="M438" s="36">
        <f>M439+M441</f>
        <v>37</v>
      </c>
    </row>
    <row r="439" spans="1:13" s="269" customFormat="1" ht="30">
      <c r="A439" s="111" t="s">
        <v>512</v>
      </c>
      <c r="B439" s="270" t="s">
        <v>23</v>
      </c>
      <c r="C439" s="100" t="s">
        <v>94</v>
      </c>
      <c r="D439" s="99" t="s">
        <v>284</v>
      </c>
      <c r="E439" s="99" t="s">
        <v>132</v>
      </c>
      <c r="F439" s="99" t="s">
        <v>147</v>
      </c>
      <c r="G439" s="99" t="s">
        <v>513</v>
      </c>
      <c r="H439" s="99"/>
      <c r="I439" s="74">
        <f>I440</f>
        <v>27.9</v>
      </c>
      <c r="J439" s="74">
        <f>J440</f>
        <v>27.9</v>
      </c>
      <c r="K439" s="271">
        <f t="shared" si="68"/>
        <v>0</v>
      </c>
      <c r="L439" s="74">
        <f>L440</f>
        <v>27</v>
      </c>
      <c r="M439" s="74">
        <f>M440</f>
        <v>27</v>
      </c>
    </row>
    <row r="440" spans="1:13" s="269" customFormat="1" ht="15">
      <c r="A440" s="111" t="s">
        <v>692</v>
      </c>
      <c r="B440" s="270" t="s">
        <v>23</v>
      </c>
      <c r="C440" s="100" t="s">
        <v>94</v>
      </c>
      <c r="D440" s="99" t="s">
        <v>284</v>
      </c>
      <c r="E440" s="99" t="s">
        <v>132</v>
      </c>
      <c r="F440" s="99" t="s">
        <v>147</v>
      </c>
      <c r="G440" s="99" t="s">
        <v>513</v>
      </c>
      <c r="H440" s="99" t="s">
        <v>691</v>
      </c>
      <c r="I440" s="74">
        <v>27.9</v>
      </c>
      <c r="J440" s="74">
        <v>27.9</v>
      </c>
      <c r="K440" s="271">
        <f t="shared" si="68"/>
        <v>0</v>
      </c>
      <c r="L440" s="74">
        <v>27</v>
      </c>
      <c r="M440" s="74">
        <v>27</v>
      </c>
    </row>
    <row r="441" spans="1:13" s="268" customFormat="1" ht="30">
      <c r="A441" s="111" t="s">
        <v>391</v>
      </c>
      <c r="B441" s="270">
        <v>110</v>
      </c>
      <c r="C441" s="100" t="s">
        <v>94</v>
      </c>
      <c r="D441" s="99" t="s">
        <v>284</v>
      </c>
      <c r="E441" s="99" t="s">
        <v>132</v>
      </c>
      <c r="F441" s="99" t="s">
        <v>147</v>
      </c>
      <c r="G441" s="99" t="s">
        <v>392</v>
      </c>
      <c r="H441" s="99"/>
      <c r="I441" s="74">
        <f>I442</f>
        <v>8.9</v>
      </c>
      <c r="J441" s="74">
        <f>J442</f>
        <v>8.9</v>
      </c>
      <c r="K441" s="271">
        <f t="shared" si="68"/>
        <v>0</v>
      </c>
      <c r="L441" s="74">
        <f>L442</f>
        <v>10</v>
      </c>
      <c r="M441" s="74">
        <f>M442</f>
        <v>10</v>
      </c>
    </row>
    <row r="442" spans="1:13" s="268" customFormat="1" ht="15">
      <c r="A442" s="111" t="s">
        <v>692</v>
      </c>
      <c r="B442" s="270">
        <v>110</v>
      </c>
      <c r="C442" s="100" t="s">
        <v>94</v>
      </c>
      <c r="D442" s="99" t="s">
        <v>284</v>
      </c>
      <c r="E442" s="99" t="s">
        <v>132</v>
      </c>
      <c r="F442" s="99" t="s">
        <v>147</v>
      </c>
      <c r="G442" s="99" t="s">
        <v>392</v>
      </c>
      <c r="H442" s="99" t="s">
        <v>691</v>
      </c>
      <c r="I442" s="74">
        <v>8.9</v>
      </c>
      <c r="J442" s="74">
        <v>8.9</v>
      </c>
      <c r="K442" s="271">
        <f t="shared" si="68"/>
        <v>0</v>
      </c>
      <c r="L442" s="74">
        <v>10</v>
      </c>
      <c r="M442" s="74">
        <v>10</v>
      </c>
    </row>
    <row r="443" spans="1:13" s="268" customFormat="1" ht="14.25">
      <c r="A443" s="127" t="s">
        <v>97</v>
      </c>
      <c r="B443" s="266">
        <v>110</v>
      </c>
      <c r="C443" s="95" t="s">
        <v>98</v>
      </c>
      <c r="D443" s="67"/>
      <c r="E443" s="67"/>
      <c r="F443" s="67"/>
      <c r="G443" s="67"/>
      <c r="H443" s="67"/>
      <c r="I443" s="36">
        <f>I444</f>
        <v>12752</v>
      </c>
      <c r="J443" s="36">
        <f>J444</f>
        <v>12912.900000000001</v>
      </c>
      <c r="K443" s="267">
        <f t="shared" si="68"/>
        <v>160.90000000000146</v>
      </c>
      <c r="L443" s="36">
        <f>L444</f>
        <v>9908.6</v>
      </c>
      <c r="M443" s="36">
        <f>M444</f>
        <v>9679.1</v>
      </c>
    </row>
    <row r="444" spans="1:13" s="268" customFormat="1" ht="14.25">
      <c r="A444" s="127" t="s">
        <v>99</v>
      </c>
      <c r="B444" s="266">
        <v>110</v>
      </c>
      <c r="C444" s="95" t="s">
        <v>100</v>
      </c>
      <c r="D444" s="67"/>
      <c r="E444" s="67"/>
      <c r="F444" s="67"/>
      <c r="G444" s="67"/>
      <c r="H444" s="67"/>
      <c r="I444" s="36">
        <f>I450+I445</f>
        <v>12752</v>
      </c>
      <c r="J444" s="36">
        <f>J450+J445</f>
        <v>12912.900000000001</v>
      </c>
      <c r="K444" s="267">
        <f t="shared" si="68"/>
        <v>160.90000000000146</v>
      </c>
      <c r="L444" s="36">
        <f>L450+L445</f>
        <v>9908.6</v>
      </c>
      <c r="M444" s="36">
        <f>M450+M445</f>
        <v>9679.1</v>
      </c>
    </row>
    <row r="445" spans="1:13" ht="71.25" hidden="1">
      <c r="A445" s="127" t="s">
        <v>834</v>
      </c>
      <c r="B445" s="266">
        <v>110</v>
      </c>
      <c r="C445" s="95" t="s">
        <v>100</v>
      </c>
      <c r="D445" s="67" t="s">
        <v>147</v>
      </c>
      <c r="E445" s="67" t="s">
        <v>148</v>
      </c>
      <c r="F445" s="67" t="s">
        <v>149</v>
      </c>
      <c r="G445" s="67" t="s">
        <v>150</v>
      </c>
      <c r="H445" s="67"/>
      <c r="I445" s="36">
        <f aca="true" t="shared" si="70" ref="I445:J448">I446</f>
        <v>0</v>
      </c>
      <c r="J445" s="36">
        <f t="shared" si="70"/>
        <v>0</v>
      </c>
      <c r="K445" s="267">
        <f aca="true" t="shared" si="71" ref="K445:K455">J445-I445</f>
        <v>0</v>
      </c>
      <c r="L445" s="36">
        <f aca="true" t="shared" si="72" ref="L445:M448">L446</f>
        <v>0</v>
      </c>
      <c r="M445" s="36">
        <f t="shared" si="72"/>
        <v>0</v>
      </c>
    </row>
    <row r="446" spans="1:13" ht="32.25" customHeight="1" hidden="1">
      <c r="A446" s="97" t="s">
        <v>151</v>
      </c>
      <c r="B446" s="266">
        <v>110</v>
      </c>
      <c r="C446" s="95" t="s">
        <v>100</v>
      </c>
      <c r="D446" s="67" t="s">
        <v>147</v>
      </c>
      <c r="E446" s="67" t="s">
        <v>131</v>
      </c>
      <c r="F446" s="67" t="s">
        <v>149</v>
      </c>
      <c r="G446" s="67" t="s">
        <v>150</v>
      </c>
      <c r="H446" s="67"/>
      <c r="I446" s="36">
        <f t="shared" si="70"/>
        <v>0</v>
      </c>
      <c r="J446" s="36">
        <f t="shared" si="70"/>
        <v>0</v>
      </c>
      <c r="K446" s="267">
        <f t="shared" si="71"/>
        <v>0</v>
      </c>
      <c r="L446" s="36">
        <f t="shared" si="72"/>
        <v>0</v>
      </c>
      <c r="M446" s="36">
        <f t="shared" si="72"/>
        <v>0</v>
      </c>
    </row>
    <row r="447" spans="1:13" ht="51" customHeight="1" hidden="1">
      <c r="A447" s="97" t="s">
        <v>769</v>
      </c>
      <c r="B447" s="266">
        <v>110</v>
      </c>
      <c r="C447" s="95" t="s">
        <v>100</v>
      </c>
      <c r="D447" s="67" t="s">
        <v>147</v>
      </c>
      <c r="E447" s="67" t="s">
        <v>131</v>
      </c>
      <c r="F447" s="67" t="s">
        <v>160</v>
      </c>
      <c r="G447" s="67" t="s">
        <v>150</v>
      </c>
      <c r="H447" s="67"/>
      <c r="I447" s="36">
        <f t="shared" si="70"/>
        <v>0</v>
      </c>
      <c r="J447" s="36">
        <f t="shared" si="70"/>
        <v>0</v>
      </c>
      <c r="K447" s="267">
        <f t="shared" si="71"/>
        <v>0</v>
      </c>
      <c r="L447" s="36">
        <f t="shared" si="72"/>
        <v>0</v>
      </c>
      <c r="M447" s="36">
        <f t="shared" si="72"/>
        <v>0</v>
      </c>
    </row>
    <row r="448" spans="1:13" ht="33" customHeight="1" hidden="1">
      <c r="A448" s="102" t="s">
        <v>798</v>
      </c>
      <c r="B448" s="270">
        <v>110</v>
      </c>
      <c r="C448" s="100" t="s">
        <v>100</v>
      </c>
      <c r="D448" s="99" t="s">
        <v>147</v>
      </c>
      <c r="E448" s="99" t="s">
        <v>131</v>
      </c>
      <c r="F448" s="99" t="s">
        <v>160</v>
      </c>
      <c r="G448" s="99" t="s">
        <v>811</v>
      </c>
      <c r="H448" s="99"/>
      <c r="I448" s="74">
        <f t="shared" si="70"/>
        <v>0</v>
      </c>
      <c r="J448" s="74">
        <f t="shared" si="70"/>
        <v>0</v>
      </c>
      <c r="K448" s="271">
        <f t="shared" si="71"/>
        <v>0</v>
      </c>
      <c r="L448" s="74">
        <f t="shared" si="72"/>
        <v>0</v>
      </c>
      <c r="M448" s="74">
        <f t="shared" si="72"/>
        <v>0</v>
      </c>
    </row>
    <row r="449" spans="1:13" ht="18" customHeight="1" hidden="1">
      <c r="A449" s="102" t="s">
        <v>692</v>
      </c>
      <c r="B449" s="270">
        <v>110</v>
      </c>
      <c r="C449" s="100" t="s">
        <v>100</v>
      </c>
      <c r="D449" s="99" t="s">
        <v>147</v>
      </c>
      <c r="E449" s="99" t="s">
        <v>131</v>
      </c>
      <c r="F449" s="99" t="s">
        <v>160</v>
      </c>
      <c r="G449" s="99" t="s">
        <v>811</v>
      </c>
      <c r="H449" s="99" t="s">
        <v>691</v>
      </c>
      <c r="I449" s="74"/>
      <c r="J449" s="74"/>
      <c r="K449" s="271">
        <f t="shared" si="71"/>
        <v>0</v>
      </c>
      <c r="L449" s="74"/>
      <c r="M449" s="74"/>
    </row>
    <row r="450" spans="1:13" s="268" customFormat="1" ht="35.25" customHeight="1">
      <c r="A450" s="127" t="s">
        <v>186</v>
      </c>
      <c r="B450" s="266">
        <v>110</v>
      </c>
      <c r="C450" s="95" t="s">
        <v>100</v>
      </c>
      <c r="D450" s="67" t="s">
        <v>187</v>
      </c>
      <c r="E450" s="67" t="s">
        <v>148</v>
      </c>
      <c r="F450" s="67" t="s">
        <v>149</v>
      </c>
      <c r="G450" s="67" t="s">
        <v>150</v>
      </c>
      <c r="H450" s="67"/>
      <c r="I450" s="36">
        <f>I451+I471+I479</f>
        <v>12752</v>
      </c>
      <c r="J450" s="36">
        <f>J451+J471+J479</f>
        <v>12912.900000000001</v>
      </c>
      <c r="K450" s="267">
        <f t="shared" si="71"/>
        <v>160.90000000000146</v>
      </c>
      <c r="L450" s="36">
        <f>L451+L471+L479</f>
        <v>9908.6</v>
      </c>
      <c r="M450" s="36">
        <f>M451+M471+M479</f>
        <v>9679.1</v>
      </c>
    </row>
    <row r="451" spans="1:13" s="269" customFormat="1" ht="34.5" customHeight="1">
      <c r="A451" s="124" t="s">
        <v>474</v>
      </c>
      <c r="B451" s="266">
        <v>110</v>
      </c>
      <c r="C451" s="95" t="s">
        <v>100</v>
      </c>
      <c r="D451" s="67" t="s">
        <v>187</v>
      </c>
      <c r="E451" s="67" t="s">
        <v>131</v>
      </c>
      <c r="F451" s="67" t="s">
        <v>149</v>
      </c>
      <c r="G451" s="67" t="s">
        <v>150</v>
      </c>
      <c r="H451" s="67"/>
      <c r="I451" s="36">
        <f>I452</f>
        <v>1465.8</v>
      </c>
      <c r="J451" s="36">
        <f>J452</f>
        <v>1465.8</v>
      </c>
      <c r="K451" s="267">
        <f t="shared" si="71"/>
        <v>0</v>
      </c>
      <c r="L451" s="36">
        <f>L452</f>
        <v>1403.7</v>
      </c>
      <c r="M451" s="36">
        <f>M452</f>
        <v>1103.7</v>
      </c>
    </row>
    <row r="452" spans="1:13" s="268" customFormat="1" ht="42.75">
      <c r="A452" s="124" t="s">
        <v>756</v>
      </c>
      <c r="B452" s="266">
        <v>110</v>
      </c>
      <c r="C452" s="95" t="s">
        <v>100</v>
      </c>
      <c r="D452" s="67" t="s">
        <v>187</v>
      </c>
      <c r="E452" s="67" t="s">
        <v>131</v>
      </c>
      <c r="F452" s="67" t="s">
        <v>160</v>
      </c>
      <c r="G452" s="67" t="s">
        <v>150</v>
      </c>
      <c r="H452" s="67"/>
      <c r="I452" s="36">
        <f>I453+I455+I457+I459+I463+I468+I462+I466</f>
        <v>1465.8</v>
      </c>
      <c r="J452" s="36">
        <f>J453+J455+J457+J459+J463+J468+J462+J466</f>
        <v>1465.8</v>
      </c>
      <c r="K452" s="267">
        <f t="shared" si="71"/>
        <v>0</v>
      </c>
      <c r="L452" s="36">
        <f>L453+L455+L457+L459+L463+L468+L462+L466</f>
        <v>1403.7</v>
      </c>
      <c r="M452" s="36">
        <f>M453+M455+M457+M459+M463+M468+M462+M466</f>
        <v>1103.7</v>
      </c>
    </row>
    <row r="453" spans="1:13" s="268" customFormat="1" ht="15" hidden="1">
      <c r="A453" s="115" t="s">
        <v>235</v>
      </c>
      <c r="B453" s="270">
        <v>110</v>
      </c>
      <c r="C453" s="100" t="s">
        <v>100</v>
      </c>
      <c r="D453" s="99" t="s">
        <v>187</v>
      </c>
      <c r="E453" s="99" t="s">
        <v>131</v>
      </c>
      <c r="F453" s="99" t="s">
        <v>160</v>
      </c>
      <c r="G453" s="99" t="s">
        <v>202</v>
      </c>
      <c r="H453" s="99"/>
      <c r="I453" s="74"/>
      <c r="J453" s="74">
        <f>J454</f>
        <v>0</v>
      </c>
      <c r="K453" s="271">
        <f t="shared" si="71"/>
        <v>0</v>
      </c>
      <c r="L453" s="74">
        <f>L454</f>
        <v>0</v>
      </c>
      <c r="M453" s="74">
        <f>M454</f>
        <v>0</v>
      </c>
    </row>
    <row r="454" spans="1:13" s="268" customFormat="1" ht="30" hidden="1">
      <c r="A454" s="115" t="s">
        <v>683</v>
      </c>
      <c r="B454" s="270">
        <v>110</v>
      </c>
      <c r="C454" s="100" t="s">
        <v>100</v>
      </c>
      <c r="D454" s="99" t="s">
        <v>187</v>
      </c>
      <c r="E454" s="99" t="s">
        <v>131</v>
      </c>
      <c r="F454" s="99" t="s">
        <v>160</v>
      </c>
      <c r="G454" s="99" t="s">
        <v>202</v>
      </c>
      <c r="H454" s="99" t="s">
        <v>682</v>
      </c>
      <c r="I454" s="74"/>
      <c r="J454" s="273"/>
      <c r="K454" s="271">
        <f t="shared" si="71"/>
        <v>0</v>
      </c>
      <c r="L454" s="74"/>
      <c r="M454" s="74"/>
    </row>
    <row r="455" spans="1:13" s="269" customFormat="1" ht="30">
      <c r="A455" s="115" t="s">
        <v>203</v>
      </c>
      <c r="B455" s="270">
        <v>110</v>
      </c>
      <c r="C455" s="100" t="s">
        <v>100</v>
      </c>
      <c r="D455" s="99" t="s">
        <v>187</v>
      </c>
      <c r="E455" s="99" t="s">
        <v>131</v>
      </c>
      <c r="F455" s="99" t="s">
        <v>160</v>
      </c>
      <c r="G455" s="99" t="s">
        <v>204</v>
      </c>
      <c r="H455" s="99"/>
      <c r="I455" s="74">
        <f>I456</f>
        <v>401.8</v>
      </c>
      <c r="J455" s="74">
        <f>J456</f>
        <v>401.8</v>
      </c>
      <c r="K455" s="271">
        <f t="shared" si="71"/>
        <v>0</v>
      </c>
      <c r="L455" s="74">
        <f>L456</f>
        <v>0</v>
      </c>
      <c r="M455" s="74">
        <f>M456</f>
        <v>0</v>
      </c>
    </row>
    <row r="456" spans="1:13" s="269" customFormat="1" ht="30">
      <c r="A456" s="115" t="s">
        <v>683</v>
      </c>
      <c r="B456" s="270">
        <v>110</v>
      </c>
      <c r="C456" s="100" t="s">
        <v>100</v>
      </c>
      <c r="D456" s="99" t="s">
        <v>187</v>
      </c>
      <c r="E456" s="99" t="s">
        <v>131</v>
      </c>
      <c r="F456" s="99" t="s">
        <v>160</v>
      </c>
      <c r="G456" s="99" t="s">
        <v>204</v>
      </c>
      <c r="H456" s="99" t="s">
        <v>682</v>
      </c>
      <c r="I456" s="119">
        <v>401.8</v>
      </c>
      <c r="J456" s="119">
        <v>401.8</v>
      </c>
      <c r="K456" s="271"/>
      <c r="L456" s="74"/>
      <c r="M456" s="74"/>
    </row>
    <row r="457" spans="1:13" s="269" customFormat="1" ht="15">
      <c r="A457" s="115" t="s">
        <v>702</v>
      </c>
      <c r="B457" s="270">
        <v>110</v>
      </c>
      <c r="C457" s="100" t="s">
        <v>100</v>
      </c>
      <c r="D457" s="99" t="s">
        <v>187</v>
      </c>
      <c r="E457" s="99" t="s">
        <v>131</v>
      </c>
      <c r="F457" s="99" t="s">
        <v>160</v>
      </c>
      <c r="G457" s="99" t="s">
        <v>699</v>
      </c>
      <c r="H457" s="99"/>
      <c r="I457" s="74">
        <f>I458</f>
        <v>0</v>
      </c>
      <c r="J457" s="74">
        <f>J458</f>
        <v>0</v>
      </c>
      <c r="K457" s="271">
        <f>J457-I457</f>
        <v>0</v>
      </c>
      <c r="L457" s="74">
        <f>L458</f>
        <v>300</v>
      </c>
      <c r="M457" s="74">
        <f>M458</f>
        <v>0</v>
      </c>
    </row>
    <row r="458" spans="1:13" s="269" customFormat="1" ht="30">
      <c r="A458" s="115" t="s">
        <v>683</v>
      </c>
      <c r="B458" s="270">
        <v>110</v>
      </c>
      <c r="C458" s="100" t="s">
        <v>100</v>
      </c>
      <c r="D458" s="99" t="s">
        <v>187</v>
      </c>
      <c r="E458" s="99" t="s">
        <v>131</v>
      </c>
      <c r="F458" s="99" t="s">
        <v>160</v>
      </c>
      <c r="G458" s="99" t="s">
        <v>699</v>
      </c>
      <c r="H458" s="99" t="s">
        <v>682</v>
      </c>
      <c r="I458" s="74"/>
      <c r="J458" s="74"/>
      <c r="K458" s="271">
        <f aca="true" t="shared" si="73" ref="K458:K470">J458-I458</f>
        <v>0</v>
      </c>
      <c r="L458" s="74">
        <v>300</v>
      </c>
      <c r="M458" s="74"/>
    </row>
    <row r="459" spans="1:13" s="269" customFormat="1" ht="15">
      <c r="A459" s="115" t="s">
        <v>700</v>
      </c>
      <c r="B459" s="270">
        <v>110</v>
      </c>
      <c r="C459" s="100" t="s">
        <v>100</v>
      </c>
      <c r="D459" s="99" t="s">
        <v>187</v>
      </c>
      <c r="E459" s="99" t="s">
        <v>131</v>
      </c>
      <c r="F459" s="99" t="s">
        <v>160</v>
      </c>
      <c r="G459" s="99" t="s">
        <v>701</v>
      </c>
      <c r="H459" s="99"/>
      <c r="I459" s="74">
        <f>I460</f>
        <v>30</v>
      </c>
      <c r="J459" s="74">
        <f>J460</f>
        <v>30</v>
      </c>
      <c r="K459" s="271">
        <f t="shared" si="73"/>
        <v>0</v>
      </c>
      <c r="L459" s="74">
        <f>L460</f>
        <v>30</v>
      </c>
      <c r="M459" s="74">
        <f>M460</f>
        <v>30</v>
      </c>
    </row>
    <row r="460" spans="1:13" s="269" customFormat="1" ht="30">
      <c r="A460" s="115" t="s">
        <v>683</v>
      </c>
      <c r="B460" s="270">
        <v>110</v>
      </c>
      <c r="C460" s="100" t="s">
        <v>100</v>
      </c>
      <c r="D460" s="99" t="s">
        <v>187</v>
      </c>
      <c r="E460" s="99" t="s">
        <v>131</v>
      </c>
      <c r="F460" s="99" t="s">
        <v>160</v>
      </c>
      <c r="G460" s="99" t="s">
        <v>701</v>
      </c>
      <c r="H460" s="99" t="s">
        <v>682</v>
      </c>
      <c r="I460" s="74">
        <v>30</v>
      </c>
      <c r="J460" s="74">
        <v>30</v>
      </c>
      <c r="K460" s="271">
        <f t="shared" si="73"/>
        <v>0</v>
      </c>
      <c r="L460" s="74">
        <v>30</v>
      </c>
      <c r="M460" s="74">
        <v>30</v>
      </c>
    </row>
    <row r="461" spans="1:13" s="269" customFormat="1" ht="30" hidden="1">
      <c r="A461" s="115" t="s">
        <v>1011</v>
      </c>
      <c r="B461" s="274" t="s">
        <v>23</v>
      </c>
      <c r="C461" s="100" t="s">
        <v>100</v>
      </c>
      <c r="D461" s="99" t="s">
        <v>187</v>
      </c>
      <c r="E461" s="99" t="s">
        <v>131</v>
      </c>
      <c r="F461" s="99" t="s">
        <v>160</v>
      </c>
      <c r="G461" s="99" t="s">
        <v>1012</v>
      </c>
      <c r="H461" s="99"/>
      <c r="I461" s="74"/>
      <c r="J461" s="74">
        <f>J462</f>
        <v>0</v>
      </c>
      <c r="K461" s="271">
        <f t="shared" si="73"/>
        <v>0</v>
      </c>
      <c r="L461" s="74">
        <f>L462</f>
        <v>0</v>
      </c>
      <c r="M461" s="74">
        <f>M462</f>
        <v>0</v>
      </c>
    </row>
    <row r="462" spans="1:13" s="269" customFormat="1" ht="30" hidden="1">
      <c r="A462" s="115" t="s">
        <v>683</v>
      </c>
      <c r="B462" s="274" t="s">
        <v>23</v>
      </c>
      <c r="C462" s="100" t="s">
        <v>100</v>
      </c>
      <c r="D462" s="99" t="s">
        <v>187</v>
      </c>
      <c r="E462" s="99" t="s">
        <v>131</v>
      </c>
      <c r="F462" s="99" t="s">
        <v>160</v>
      </c>
      <c r="G462" s="99" t="s">
        <v>1012</v>
      </c>
      <c r="H462" s="99" t="s">
        <v>682</v>
      </c>
      <c r="I462" s="74"/>
      <c r="J462" s="74"/>
      <c r="K462" s="271">
        <f t="shared" si="73"/>
        <v>0</v>
      </c>
      <c r="L462" s="74"/>
      <c r="M462" s="74"/>
    </row>
    <row r="463" spans="1:13" s="269" customFormat="1" ht="15" hidden="1">
      <c r="A463" s="115" t="s">
        <v>705</v>
      </c>
      <c r="B463" s="270">
        <v>110</v>
      </c>
      <c r="C463" s="100" t="s">
        <v>100</v>
      </c>
      <c r="D463" s="99" t="s">
        <v>187</v>
      </c>
      <c r="E463" s="99" t="s">
        <v>131</v>
      </c>
      <c r="F463" s="99" t="s">
        <v>160</v>
      </c>
      <c r="G463" s="99" t="s">
        <v>706</v>
      </c>
      <c r="H463" s="99"/>
      <c r="I463" s="74"/>
      <c r="J463" s="74">
        <f>J464+J465</f>
        <v>0</v>
      </c>
      <c r="K463" s="271">
        <f t="shared" si="73"/>
        <v>0</v>
      </c>
      <c r="L463" s="74">
        <f>L464+L465</f>
        <v>0</v>
      </c>
      <c r="M463" s="74">
        <f>M464+M465</f>
        <v>0</v>
      </c>
    </row>
    <row r="464" spans="1:13" s="156" customFormat="1" ht="30" hidden="1">
      <c r="A464" s="115" t="s">
        <v>683</v>
      </c>
      <c r="B464" s="270">
        <v>110</v>
      </c>
      <c r="C464" s="100" t="s">
        <v>100</v>
      </c>
      <c r="D464" s="99" t="s">
        <v>187</v>
      </c>
      <c r="E464" s="99" t="s">
        <v>131</v>
      </c>
      <c r="F464" s="99" t="s">
        <v>160</v>
      </c>
      <c r="G464" s="99" t="s">
        <v>706</v>
      </c>
      <c r="H464" s="99" t="s">
        <v>682</v>
      </c>
      <c r="I464" s="74"/>
      <c r="J464" s="74"/>
      <c r="K464" s="271">
        <f t="shared" si="73"/>
        <v>0</v>
      </c>
      <c r="L464" s="74"/>
      <c r="M464" s="74"/>
    </row>
    <row r="465" spans="1:13" s="156" customFormat="1" ht="15" hidden="1">
      <c r="A465" s="115" t="s">
        <v>692</v>
      </c>
      <c r="B465" s="270">
        <v>110</v>
      </c>
      <c r="C465" s="100" t="s">
        <v>100</v>
      </c>
      <c r="D465" s="99" t="s">
        <v>187</v>
      </c>
      <c r="E465" s="99" t="s">
        <v>131</v>
      </c>
      <c r="F465" s="99" t="s">
        <v>160</v>
      </c>
      <c r="G465" s="99" t="s">
        <v>706</v>
      </c>
      <c r="H465" s="99" t="s">
        <v>691</v>
      </c>
      <c r="I465" s="74"/>
      <c r="J465" s="74"/>
      <c r="K465" s="271">
        <f t="shared" si="73"/>
        <v>0</v>
      </c>
      <c r="L465" s="74"/>
      <c r="M465" s="74"/>
    </row>
    <row r="466" spans="1:13" s="156" customFormat="1" ht="30" hidden="1">
      <c r="A466" s="115" t="s">
        <v>1014</v>
      </c>
      <c r="B466" s="270">
        <v>110</v>
      </c>
      <c r="C466" s="100" t="s">
        <v>100</v>
      </c>
      <c r="D466" s="99" t="s">
        <v>187</v>
      </c>
      <c r="E466" s="99" t="s">
        <v>131</v>
      </c>
      <c r="F466" s="99" t="s">
        <v>160</v>
      </c>
      <c r="G466" s="99" t="s">
        <v>1013</v>
      </c>
      <c r="H466" s="99"/>
      <c r="I466" s="74"/>
      <c r="J466" s="74">
        <f>J467</f>
        <v>0</v>
      </c>
      <c r="K466" s="271">
        <f t="shared" si="73"/>
        <v>0</v>
      </c>
      <c r="L466" s="74"/>
      <c r="M466" s="74"/>
    </row>
    <row r="467" spans="1:13" s="156" customFormat="1" ht="15" hidden="1">
      <c r="A467" s="115" t="s">
        <v>692</v>
      </c>
      <c r="B467" s="270">
        <v>110</v>
      </c>
      <c r="C467" s="100" t="s">
        <v>100</v>
      </c>
      <c r="D467" s="99" t="s">
        <v>187</v>
      </c>
      <c r="E467" s="99" t="s">
        <v>131</v>
      </c>
      <c r="F467" s="99" t="s">
        <v>160</v>
      </c>
      <c r="G467" s="99" t="s">
        <v>1013</v>
      </c>
      <c r="H467" s="99" t="s">
        <v>691</v>
      </c>
      <c r="I467" s="74"/>
      <c r="J467" s="74">
        <f>300-300</f>
        <v>0</v>
      </c>
      <c r="K467" s="271">
        <f t="shared" si="73"/>
        <v>0</v>
      </c>
      <c r="L467" s="74"/>
      <c r="M467" s="74"/>
    </row>
    <row r="468" spans="1:13" s="156" customFormat="1" ht="15">
      <c r="A468" s="115" t="s">
        <v>705</v>
      </c>
      <c r="B468" s="270">
        <v>110</v>
      </c>
      <c r="C468" s="100" t="s">
        <v>100</v>
      </c>
      <c r="D468" s="99" t="s">
        <v>187</v>
      </c>
      <c r="E468" s="99" t="s">
        <v>131</v>
      </c>
      <c r="F468" s="99" t="s">
        <v>160</v>
      </c>
      <c r="G468" s="99" t="s">
        <v>731</v>
      </c>
      <c r="H468" s="99"/>
      <c r="I468" s="74">
        <f>I470+I469</f>
        <v>1034</v>
      </c>
      <c r="J468" s="74">
        <f>J470+J469</f>
        <v>1034</v>
      </c>
      <c r="K468" s="271">
        <f t="shared" si="73"/>
        <v>0</v>
      </c>
      <c r="L468" s="74">
        <f>L470+L469</f>
        <v>1073.7</v>
      </c>
      <c r="M468" s="74">
        <f>M470+M469</f>
        <v>1073.7</v>
      </c>
    </row>
    <row r="469" spans="1:13" s="156" customFormat="1" ht="30">
      <c r="A469" s="115" t="s">
        <v>683</v>
      </c>
      <c r="B469" s="270">
        <v>110</v>
      </c>
      <c r="C469" s="100" t="s">
        <v>100</v>
      </c>
      <c r="D469" s="99" t="s">
        <v>187</v>
      </c>
      <c r="E469" s="99" t="s">
        <v>131</v>
      </c>
      <c r="F469" s="99" t="s">
        <v>160</v>
      </c>
      <c r="G469" s="99" t="s">
        <v>731</v>
      </c>
      <c r="H469" s="99" t="s">
        <v>682</v>
      </c>
      <c r="I469" s="74">
        <f>120+362.1+723-401.8</f>
        <v>803.3</v>
      </c>
      <c r="J469" s="74">
        <f>120+362.1+723-401.8</f>
        <v>803.3</v>
      </c>
      <c r="K469" s="271">
        <f t="shared" si="73"/>
        <v>0</v>
      </c>
      <c r="L469" s="74">
        <f>120+723</f>
        <v>843</v>
      </c>
      <c r="M469" s="74">
        <f>120+723</f>
        <v>843</v>
      </c>
    </row>
    <row r="470" spans="1:13" s="156" customFormat="1" ht="15">
      <c r="A470" s="115" t="s">
        <v>692</v>
      </c>
      <c r="B470" s="270">
        <v>110</v>
      </c>
      <c r="C470" s="100" t="s">
        <v>100</v>
      </c>
      <c r="D470" s="99" t="s">
        <v>187</v>
      </c>
      <c r="E470" s="99" t="s">
        <v>131</v>
      </c>
      <c r="F470" s="99" t="s">
        <v>160</v>
      </c>
      <c r="G470" s="99" t="s">
        <v>731</v>
      </c>
      <c r="H470" s="99" t="s">
        <v>691</v>
      </c>
      <c r="I470" s="74">
        <v>230.7</v>
      </c>
      <c r="J470" s="74">
        <v>230.7</v>
      </c>
      <c r="K470" s="271">
        <f t="shared" si="73"/>
        <v>0</v>
      </c>
      <c r="L470" s="74">
        <v>230.7</v>
      </c>
      <c r="M470" s="74">
        <v>230.7</v>
      </c>
    </row>
    <row r="471" spans="1:13" s="284" customFormat="1" ht="33.75" customHeight="1">
      <c r="A471" s="97" t="s">
        <v>192</v>
      </c>
      <c r="B471" s="266">
        <v>110</v>
      </c>
      <c r="C471" s="95" t="s">
        <v>100</v>
      </c>
      <c r="D471" s="67" t="s">
        <v>187</v>
      </c>
      <c r="E471" s="67" t="s">
        <v>132</v>
      </c>
      <c r="F471" s="67" t="s">
        <v>149</v>
      </c>
      <c r="G471" s="67" t="s">
        <v>150</v>
      </c>
      <c r="H471" s="67"/>
      <c r="I471" s="36">
        <f>I472</f>
        <v>4929.900000000001</v>
      </c>
      <c r="J471" s="36">
        <f>J472</f>
        <v>4929.900000000001</v>
      </c>
      <c r="K471" s="267">
        <f aca="true" t="shared" si="74" ref="K471:K486">J471-I471</f>
        <v>0</v>
      </c>
      <c r="L471" s="36">
        <f>L472</f>
        <v>3012.3</v>
      </c>
      <c r="M471" s="36">
        <f>M472</f>
        <v>3083.8</v>
      </c>
    </row>
    <row r="472" spans="1:13" s="276" customFormat="1" ht="28.5">
      <c r="A472" s="124" t="s">
        <v>757</v>
      </c>
      <c r="B472" s="266">
        <v>110</v>
      </c>
      <c r="C472" s="95" t="s">
        <v>100</v>
      </c>
      <c r="D472" s="67" t="s">
        <v>187</v>
      </c>
      <c r="E472" s="67" t="s">
        <v>132</v>
      </c>
      <c r="F472" s="67" t="s">
        <v>147</v>
      </c>
      <c r="G472" s="67" t="s">
        <v>150</v>
      </c>
      <c r="H472" s="67"/>
      <c r="I472" s="36">
        <f>I473+I475+I477</f>
        <v>4929.900000000001</v>
      </c>
      <c r="J472" s="36">
        <f>J473+J475+J477</f>
        <v>4929.900000000001</v>
      </c>
      <c r="K472" s="267">
        <f t="shared" si="74"/>
        <v>0</v>
      </c>
      <c r="L472" s="36">
        <f>L473+L475+L477</f>
        <v>3012.3</v>
      </c>
      <c r="M472" s="36">
        <f>M473+M475+M477</f>
        <v>3083.8</v>
      </c>
    </row>
    <row r="473" spans="1:13" ht="45">
      <c r="A473" s="115" t="s">
        <v>814</v>
      </c>
      <c r="B473" s="270">
        <v>110</v>
      </c>
      <c r="C473" s="100" t="s">
        <v>100</v>
      </c>
      <c r="D473" s="99" t="s">
        <v>187</v>
      </c>
      <c r="E473" s="99" t="s">
        <v>132</v>
      </c>
      <c r="F473" s="99" t="s">
        <v>147</v>
      </c>
      <c r="G473" s="99" t="s">
        <v>197</v>
      </c>
      <c r="H473" s="99"/>
      <c r="I473" s="74">
        <f>I474</f>
        <v>39.6</v>
      </c>
      <c r="J473" s="74">
        <f>J474</f>
        <v>39.6</v>
      </c>
      <c r="K473" s="271">
        <f t="shared" si="74"/>
        <v>0</v>
      </c>
      <c r="L473" s="74">
        <f>L474</f>
        <v>39.6</v>
      </c>
      <c r="M473" s="74">
        <f>M474</f>
        <v>39.6</v>
      </c>
    </row>
    <row r="474" spans="1:13" ht="30">
      <c r="A474" s="115" t="s">
        <v>683</v>
      </c>
      <c r="B474" s="270">
        <v>110</v>
      </c>
      <c r="C474" s="100" t="s">
        <v>100</v>
      </c>
      <c r="D474" s="99" t="s">
        <v>187</v>
      </c>
      <c r="E474" s="99" t="s">
        <v>132</v>
      </c>
      <c r="F474" s="99" t="s">
        <v>147</v>
      </c>
      <c r="G474" s="99" t="s">
        <v>197</v>
      </c>
      <c r="H474" s="99" t="s">
        <v>682</v>
      </c>
      <c r="I474" s="74">
        <v>39.6</v>
      </c>
      <c r="J474" s="74">
        <v>39.6</v>
      </c>
      <c r="K474" s="271">
        <f t="shared" si="74"/>
        <v>0</v>
      </c>
      <c r="L474" s="74">
        <v>39.6</v>
      </c>
      <c r="M474" s="74">
        <v>39.6</v>
      </c>
    </row>
    <row r="475" spans="1:13" ht="30">
      <c r="A475" s="102" t="s">
        <v>198</v>
      </c>
      <c r="B475" s="270">
        <v>110</v>
      </c>
      <c r="C475" s="100" t="s">
        <v>100</v>
      </c>
      <c r="D475" s="99" t="s">
        <v>187</v>
      </c>
      <c r="E475" s="99" t="s">
        <v>132</v>
      </c>
      <c r="F475" s="99" t="s">
        <v>147</v>
      </c>
      <c r="G475" s="99" t="s">
        <v>199</v>
      </c>
      <c r="H475" s="99"/>
      <c r="I475" s="74">
        <f>I476</f>
        <v>4105.6</v>
      </c>
      <c r="J475" s="74">
        <f>J476</f>
        <v>4105.6</v>
      </c>
      <c r="K475" s="271">
        <f t="shared" si="74"/>
        <v>0</v>
      </c>
      <c r="L475" s="74">
        <f>L476</f>
        <v>2188</v>
      </c>
      <c r="M475" s="74">
        <f>M476</f>
        <v>2259.5</v>
      </c>
    </row>
    <row r="476" spans="1:13" ht="15">
      <c r="A476" s="107" t="s">
        <v>692</v>
      </c>
      <c r="B476" s="270">
        <v>110</v>
      </c>
      <c r="C476" s="100" t="s">
        <v>100</v>
      </c>
      <c r="D476" s="99" t="s">
        <v>187</v>
      </c>
      <c r="E476" s="99" t="s">
        <v>132</v>
      </c>
      <c r="F476" s="99" t="s">
        <v>147</v>
      </c>
      <c r="G476" s="99" t="s">
        <v>199</v>
      </c>
      <c r="H476" s="99" t="s">
        <v>691</v>
      </c>
      <c r="I476" s="74">
        <f>2105.6+2000</f>
        <v>4105.6</v>
      </c>
      <c r="J476" s="74">
        <f>2105.6+2000</f>
        <v>4105.6</v>
      </c>
      <c r="K476" s="271">
        <f t="shared" si="74"/>
        <v>0</v>
      </c>
      <c r="L476" s="74">
        <v>2188</v>
      </c>
      <c r="M476" s="74">
        <v>2259.5</v>
      </c>
    </row>
    <row r="477" spans="1:13" s="268" customFormat="1" ht="30">
      <c r="A477" s="115" t="s">
        <v>725</v>
      </c>
      <c r="B477" s="270">
        <v>110</v>
      </c>
      <c r="C477" s="100" t="s">
        <v>100</v>
      </c>
      <c r="D477" s="99" t="s">
        <v>187</v>
      </c>
      <c r="E477" s="99" t="s">
        <v>132</v>
      </c>
      <c r="F477" s="99" t="s">
        <v>147</v>
      </c>
      <c r="G477" s="99" t="s">
        <v>726</v>
      </c>
      <c r="H477" s="99"/>
      <c r="I477" s="74">
        <f>I478</f>
        <v>784.7</v>
      </c>
      <c r="J477" s="74">
        <f>J478</f>
        <v>784.7</v>
      </c>
      <c r="K477" s="271">
        <f t="shared" si="74"/>
        <v>0</v>
      </c>
      <c r="L477" s="74">
        <f>L478</f>
        <v>784.7</v>
      </c>
      <c r="M477" s="74">
        <f>M478</f>
        <v>784.7</v>
      </c>
    </row>
    <row r="478" spans="1:13" s="268" customFormat="1" ht="15">
      <c r="A478" s="115" t="s">
        <v>692</v>
      </c>
      <c r="B478" s="270">
        <v>110</v>
      </c>
      <c r="C478" s="100" t="s">
        <v>100</v>
      </c>
      <c r="D478" s="99" t="s">
        <v>187</v>
      </c>
      <c r="E478" s="99" t="s">
        <v>132</v>
      </c>
      <c r="F478" s="99" t="s">
        <v>147</v>
      </c>
      <c r="G478" s="99" t="s">
        <v>726</v>
      </c>
      <c r="H478" s="99" t="s">
        <v>691</v>
      </c>
      <c r="I478" s="74">
        <v>784.7</v>
      </c>
      <c r="J478" s="74">
        <v>784.7</v>
      </c>
      <c r="K478" s="271">
        <f t="shared" si="74"/>
        <v>0</v>
      </c>
      <c r="L478" s="74">
        <v>784.7</v>
      </c>
      <c r="M478" s="74">
        <v>784.7</v>
      </c>
    </row>
    <row r="479" spans="1:13" s="268" customFormat="1" ht="42.75">
      <c r="A479" s="124" t="s">
        <v>200</v>
      </c>
      <c r="B479" s="266">
        <v>110</v>
      </c>
      <c r="C479" s="95" t="s">
        <v>100</v>
      </c>
      <c r="D479" s="67" t="s">
        <v>187</v>
      </c>
      <c r="E479" s="67" t="s">
        <v>134</v>
      </c>
      <c r="F479" s="67" t="s">
        <v>149</v>
      </c>
      <c r="G479" s="67" t="s">
        <v>150</v>
      </c>
      <c r="H479" s="67"/>
      <c r="I479" s="36">
        <f>I480</f>
        <v>6356.3</v>
      </c>
      <c r="J479" s="36">
        <f>J480</f>
        <v>6517.2</v>
      </c>
      <c r="K479" s="267">
        <f t="shared" si="74"/>
        <v>160.89999999999964</v>
      </c>
      <c r="L479" s="36">
        <f>L480</f>
        <v>5492.6</v>
      </c>
      <c r="M479" s="36">
        <f>M480</f>
        <v>5491.6</v>
      </c>
    </row>
    <row r="480" spans="1:13" s="268" customFormat="1" ht="42.75">
      <c r="A480" s="124" t="s">
        <v>833</v>
      </c>
      <c r="B480" s="266">
        <v>110</v>
      </c>
      <c r="C480" s="95" t="s">
        <v>100</v>
      </c>
      <c r="D480" s="67" t="s">
        <v>187</v>
      </c>
      <c r="E480" s="67" t="s">
        <v>134</v>
      </c>
      <c r="F480" s="67" t="s">
        <v>147</v>
      </c>
      <c r="G480" s="67" t="s">
        <v>150</v>
      </c>
      <c r="H480" s="67"/>
      <c r="I480" s="36">
        <f>I481+I485</f>
        <v>6356.3</v>
      </c>
      <c r="J480" s="36">
        <f>J481+J485</f>
        <v>6517.2</v>
      </c>
      <c r="K480" s="267">
        <f t="shared" si="74"/>
        <v>160.89999999999964</v>
      </c>
      <c r="L480" s="36">
        <f>L481+L485</f>
        <v>5492.6</v>
      </c>
      <c r="M480" s="36">
        <f>M481+M485</f>
        <v>5491.6</v>
      </c>
    </row>
    <row r="481" spans="1:13" s="269" customFormat="1" ht="15">
      <c r="A481" s="109" t="s">
        <v>189</v>
      </c>
      <c r="B481" s="270">
        <v>110</v>
      </c>
      <c r="C481" s="100" t="s">
        <v>100</v>
      </c>
      <c r="D481" s="99" t="s">
        <v>187</v>
      </c>
      <c r="E481" s="99" t="s">
        <v>134</v>
      </c>
      <c r="F481" s="99" t="s">
        <v>147</v>
      </c>
      <c r="G481" s="99" t="s">
        <v>190</v>
      </c>
      <c r="H481" s="99"/>
      <c r="I481" s="74">
        <f>I482+I483+I484</f>
        <v>4061.7</v>
      </c>
      <c r="J481" s="74">
        <f>J482+J483+J484</f>
        <v>4222.599999999999</v>
      </c>
      <c r="K481" s="271">
        <f t="shared" si="74"/>
        <v>160.89999999999964</v>
      </c>
      <c r="L481" s="74">
        <f>L482+L483+L484</f>
        <v>4470.8</v>
      </c>
      <c r="M481" s="74">
        <f>M482+M483+M484</f>
        <v>4469.8</v>
      </c>
    </row>
    <row r="482" spans="1:13" s="269" customFormat="1" ht="60">
      <c r="A482" s="115" t="s">
        <v>680</v>
      </c>
      <c r="B482" s="270">
        <v>110</v>
      </c>
      <c r="C482" s="100" t="s">
        <v>100</v>
      </c>
      <c r="D482" s="99" t="s">
        <v>187</v>
      </c>
      <c r="E482" s="99" t="s">
        <v>134</v>
      </c>
      <c r="F482" s="99" t="s">
        <v>147</v>
      </c>
      <c r="G482" s="99" t="s">
        <v>190</v>
      </c>
      <c r="H482" s="99" t="s">
        <v>681</v>
      </c>
      <c r="I482" s="74">
        <f>3036.4+617.4-164.8</f>
        <v>3489</v>
      </c>
      <c r="J482" s="74">
        <f>3036.4+617.4-164.8-85.3</f>
        <v>3403.7</v>
      </c>
      <c r="K482" s="271">
        <f t="shared" si="74"/>
        <v>-85.30000000000018</v>
      </c>
      <c r="L482" s="74">
        <v>3614.4</v>
      </c>
      <c r="M482" s="74">
        <v>3614.4</v>
      </c>
    </row>
    <row r="483" spans="1:13" s="269" customFormat="1" ht="30">
      <c r="A483" s="115" t="s">
        <v>683</v>
      </c>
      <c r="B483" s="270">
        <v>110</v>
      </c>
      <c r="C483" s="100" t="s">
        <v>100</v>
      </c>
      <c r="D483" s="99" t="s">
        <v>187</v>
      </c>
      <c r="E483" s="99" t="s">
        <v>134</v>
      </c>
      <c r="F483" s="99" t="s">
        <v>147</v>
      </c>
      <c r="G483" s="99" t="s">
        <v>190</v>
      </c>
      <c r="H483" s="99" t="s">
        <v>682</v>
      </c>
      <c r="I483" s="74">
        <f>561.2+10.5</f>
        <v>571.7</v>
      </c>
      <c r="J483" s="74">
        <f>561.2+10.5+160.9+85.3</f>
        <v>817.9</v>
      </c>
      <c r="K483" s="271">
        <f t="shared" si="74"/>
        <v>246.19999999999993</v>
      </c>
      <c r="L483" s="74">
        <v>855.4</v>
      </c>
      <c r="M483" s="74">
        <v>854.4</v>
      </c>
    </row>
    <row r="484" spans="1:13" s="154" customFormat="1" ht="15">
      <c r="A484" s="111" t="s">
        <v>684</v>
      </c>
      <c r="B484" s="270">
        <v>110</v>
      </c>
      <c r="C484" s="100" t="s">
        <v>100</v>
      </c>
      <c r="D484" s="99" t="s">
        <v>187</v>
      </c>
      <c r="E484" s="99" t="s">
        <v>134</v>
      </c>
      <c r="F484" s="99" t="s">
        <v>147</v>
      </c>
      <c r="G484" s="99" t="s">
        <v>190</v>
      </c>
      <c r="H484" s="99" t="s">
        <v>685</v>
      </c>
      <c r="I484" s="74">
        <v>1</v>
      </c>
      <c r="J484" s="74">
        <v>1</v>
      </c>
      <c r="K484" s="271">
        <f t="shared" si="74"/>
        <v>0</v>
      </c>
      <c r="L484" s="74">
        <v>1</v>
      </c>
      <c r="M484" s="74">
        <v>1</v>
      </c>
    </row>
    <row r="485" spans="1:13" s="268" customFormat="1" ht="30">
      <c r="A485" s="111" t="s">
        <v>191</v>
      </c>
      <c r="B485" s="270">
        <v>110</v>
      </c>
      <c r="C485" s="100" t="s">
        <v>100</v>
      </c>
      <c r="D485" s="99" t="s">
        <v>187</v>
      </c>
      <c r="E485" s="99" t="s">
        <v>134</v>
      </c>
      <c r="F485" s="99" t="s">
        <v>147</v>
      </c>
      <c r="G485" s="99" t="s">
        <v>747</v>
      </c>
      <c r="H485" s="99"/>
      <c r="I485" s="74">
        <f>I486</f>
        <v>2294.6000000000004</v>
      </c>
      <c r="J485" s="74">
        <f>J486</f>
        <v>2294.6000000000004</v>
      </c>
      <c r="K485" s="271">
        <f t="shared" si="74"/>
        <v>0</v>
      </c>
      <c r="L485" s="74">
        <f>L486</f>
        <v>1021.8</v>
      </c>
      <c r="M485" s="74">
        <f>M486</f>
        <v>1021.8</v>
      </c>
    </row>
    <row r="486" spans="1:13" ht="60">
      <c r="A486" s="115" t="s">
        <v>680</v>
      </c>
      <c r="B486" s="270">
        <v>110</v>
      </c>
      <c r="C486" s="100" t="s">
        <v>100</v>
      </c>
      <c r="D486" s="99" t="s">
        <v>187</v>
      </c>
      <c r="E486" s="99" t="s">
        <v>134</v>
      </c>
      <c r="F486" s="99" t="s">
        <v>147</v>
      </c>
      <c r="G486" s="99" t="s">
        <v>747</v>
      </c>
      <c r="H486" s="99" t="s">
        <v>681</v>
      </c>
      <c r="I486" s="74">
        <f>982.5+1147.3+164.8</f>
        <v>2294.6000000000004</v>
      </c>
      <c r="J486" s="74">
        <f>982.5+1147.3+164.8</f>
        <v>2294.6000000000004</v>
      </c>
      <c r="K486" s="271">
        <f t="shared" si="74"/>
        <v>0</v>
      </c>
      <c r="L486" s="74">
        <v>1021.8</v>
      </c>
      <c r="M486" s="74">
        <v>1021.8</v>
      </c>
    </row>
    <row r="487" spans="1:13" s="276" customFormat="1" ht="15">
      <c r="A487" s="124" t="s">
        <v>101</v>
      </c>
      <c r="B487" s="266">
        <v>110</v>
      </c>
      <c r="C487" s="95" t="s">
        <v>102</v>
      </c>
      <c r="D487" s="67"/>
      <c r="E487" s="67"/>
      <c r="F487" s="67"/>
      <c r="G487" s="67"/>
      <c r="H487" s="67"/>
      <c r="I487" s="36">
        <f>I488+I494+I539</f>
        <v>115663.3</v>
      </c>
      <c r="J487" s="36">
        <f>J488+J494+J539</f>
        <v>116216.1</v>
      </c>
      <c r="K487" s="271">
        <f aca="true" t="shared" si="75" ref="K487:K493">J487-I487</f>
        <v>552.8000000000029</v>
      </c>
      <c r="L487" s="36">
        <f>L488+L494+L539</f>
        <v>112814.70000000001</v>
      </c>
      <c r="M487" s="36">
        <f>M488+M494+M539</f>
        <v>112233.50000000001</v>
      </c>
    </row>
    <row r="488" spans="1:13" s="276" customFormat="1" ht="14.25">
      <c r="A488" s="124" t="s">
        <v>103</v>
      </c>
      <c r="B488" s="266">
        <v>110</v>
      </c>
      <c r="C488" s="95" t="s">
        <v>104</v>
      </c>
      <c r="D488" s="67"/>
      <c r="E488" s="67"/>
      <c r="F488" s="67"/>
      <c r="G488" s="67"/>
      <c r="H488" s="67"/>
      <c r="I488" s="36">
        <f aca="true" t="shared" si="76" ref="I488:M492">I489</f>
        <v>18087.4</v>
      </c>
      <c r="J488" s="36">
        <f t="shared" si="76"/>
        <v>18640.2</v>
      </c>
      <c r="K488" s="267">
        <f t="shared" si="75"/>
        <v>552.7999999999993</v>
      </c>
      <c r="L488" s="36">
        <f t="shared" si="76"/>
        <v>18087.4</v>
      </c>
      <c r="M488" s="36">
        <f t="shared" si="76"/>
        <v>18087.4</v>
      </c>
    </row>
    <row r="489" spans="1:13" s="276" customFormat="1" ht="14.25">
      <c r="A489" s="110" t="s">
        <v>424</v>
      </c>
      <c r="B489" s="266">
        <v>110</v>
      </c>
      <c r="C489" s="95" t="s">
        <v>104</v>
      </c>
      <c r="D489" s="95" t="s">
        <v>425</v>
      </c>
      <c r="E489" s="94">
        <v>0</v>
      </c>
      <c r="F489" s="95" t="s">
        <v>149</v>
      </c>
      <c r="G489" s="95" t="s">
        <v>150</v>
      </c>
      <c r="H489" s="67"/>
      <c r="I489" s="36">
        <f t="shared" si="76"/>
        <v>18087.4</v>
      </c>
      <c r="J489" s="36">
        <f t="shared" si="76"/>
        <v>18640.2</v>
      </c>
      <c r="K489" s="267">
        <f t="shared" si="75"/>
        <v>552.7999999999993</v>
      </c>
      <c r="L489" s="36">
        <f t="shared" si="76"/>
        <v>18087.4</v>
      </c>
      <c r="M489" s="36">
        <f t="shared" si="76"/>
        <v>18087.4</v>
      </c>
    </row>
    <row r="490" spans="1:13" s="276" customFormat="1" ht="14.25">
      <c r="A490" s="97" t="s">
        <v>399</v>
      </c>
      <c r="B490" s="266">
        <v>110</v>
      </c>
      <c r="C490" s="95" t="s">
        <v>104</v>
      </c>
      <c r="D490" s="67" t="s">
        <v>425</v>
      </c>
      <c r="E490" s="67" t="s">
        <v>329</v>
      </c>
      <c r="F490" s="67" t="s">
        <v>149</v>
      </c>
      <c r="G490" s="67" t="s">
        <v>150</v>
      </c>
      <c r="H490" s="67"/>
      <c r="I490" s="36">
        <f t="shared" si="76"/>
        <v>18087.4</v>
      </c>
      <c r="J490" s="36">
        <f t="shared" si="76"/>
        <v>18640.2</v>
      </c>
      <c r="K490" s="267">
        <f t="shared" si="75"/>
        <v>552.7999999999993</v>
      </c>
      <c r="L490" s="36">
        <f t="shared" si="76"/>
        <v>18087.4</v>
      </c>
      <c r="M490" s="36">
        <f t="shared" si="76"/>
        <v>18087.4</v>
      </c>
    </row>
    <row r="491" spans="1:13" s="276" customFormat="1" ht="14.25">
      <c r="A491" s="97" t="s">
        <v>399</v>
      </c>
      <c r="B491" s="266">
        <v>110</v>
      </c>
      <c r="C491" s="95" t="s">
        <v>104</v>
      </c>
      <c r="D491" s="95" t="s">
        <v>426</v>
      </c>
      <c r="E491" s="94" t="s">
        <v>329</v>
      </c>
      <c r="F491" s="95" t="s">
        <v>147</v>
      </c>
      <c r="G491" s="95" t="s">
        <v>150</v>
      </c>
      <c r="H491" s="67"/>
      <c r="I491" s="36">
        <f t="shared" si="76"/>
        <v>18087.4</v>
      </c>
      <c r="J491" s="36">
        <f t="shared" si="76"/>
        <v>18640.2</v>
      </c>
      <c r="K491" s="267">
        <f t="shared" si="75"/>
        <v>552.7999999999993</v>
      </c>
      <c r="L491" s="36">
        <f t="shared" si="76"/>
        <v>18087.4</v>
      </c>
      <c r="M491" s="36">
        <f t="shared" si="76"/>
        <v>18087.4</v>
      </c>
    </row>
    <row r="492" spans="1:13" ht="15">
      <c r="A492" s="102" t="s">
        <v>301</v>
      </c>
      <c r="B492" s="270">
        <v>110</v>
      </c>
      <c r="C492" s="100" t="s">
        <v>104</v>
      </c>
      <c r="D492" s="100" t="s">
        <v>426</v>
      </c>
      <c r="E492" s="117" t="s">
        <v>329</v>
      </c>
      <c r="F492" s="100" t="s">
        <v>147</v>
      </c>
      <c r="G492" s="99" t="s">
        <v>302</v>
      </c>
      <c r="H492" s="99"/>
      <c r="I492" s="74">
        <f t="shared" si="76"/>
        <v>18087.4</v>
      </c>
      <c r="J492" s="74">
        <f t="shared" si="76"/>
        <v>18640.2</v>
      </c>
      <c r="K492" s="271">
        <f t="shared" si="75"/>
        <v>552.7999999999993</v>
      </c>
      <c r="L492" s="74">
        <f t="shared" si="76"/>
        <v>18087.4</v>
      </c>
      <c r="M492" s="74">
        <f t="shared" si="76"/>
        <v>18087.4</v>
      </c>
    </row>
    <row r="493" spans="1:13" ht="15">
      <c r="A493" s="102" t="s">
        <v>687</v>
      </c>
      <c r="B493" s="270">
        <v>110</v>
      </c>
      <c r="C493" s="100" t="s">
        <v>104</v>
      </c>
      <c r="D493" s="100" t="s">
        <v>426</v>
      </c>
      <c r="E493" s="117" t="s">
        <v>329</v>
      </c>
      <c r="F493" s="100" t="s">
        <v>147</v>
      </c>
      <c r="G493" s="99" t="s">
        <v>302</v>
      </c>
      <c r="H493" s="99" t="s">
        <v>686</v>
      </c>
      <c r="I493" s="74">
        <v>18087.4</v>
      </c>
      <c r="J493" s="74">
        <f>18087.4+552.8</f>
        <v>18640.2</v>
      </c>
      <c r="K493" s="271">
        <f t="shared" si="75"/>
        <v>552.7999999999993</v>
      </c>
      <c r="L493" s="74">
        <v>18087.4</v>
      </c>
      <c r="M493" s="74">
        <v>18087.4</v>
      </c>
    </row>
    <row r="494" spans="1:13" s="156" customFormat="1" ht="15">
      <c r="A494" s="127" t="s">
        <v>107</v>
      </c>
      <c r="B494" s="266" t="s">
        <v>23</v>
      </c>
      <c r="C494" s="95" t="s">
        <v>108</v>
      </c>
      <c r="D494" s="67"/>
      <c r="E494" s="67"/>
      <c r="F494" s="67"/>
      <c r="G494" s="67"/>
      <c r="H494" s="67"/>
      <c r="I494" s="36">
        <f>I495+I512+I528</f>
        <v>14832.6</v>
      </c>
      <c r="J494" s="36">
        <f>J495+J512+J528</f>
        <v>14832.6</v>
      </c>
      <c r="K494" s="267">
        <f aca="true" t="shared" si="77" ref="K494:K504">J494-I494</f>
        <v>0</v>
      </c>
      <c r="L494" s="36">
        <f>L495+L512+L528</f>
        <v>12549.800000000001</v>
      </c>
      <c r="M494" s="36">
        <f>M495+M512+M528</f>
        <v>11914.900000000001</v>
      </c>
    </row>
    <row r="495" spans="1:13" s="156" customFormat="1" ht="42.75">
      <c r="A495" s="127" t="s">
        <v>159</v>
      </c>
      <c r="B495" s="266">
        <v>110</v>
      </c>
      <c r="C495" s="95" t="s">
        <v>108</v>
      </c>
      <c r="D495" s="67" t="s">
        <v>160</v>
      </c>
      <c r="E495" s="67" t="s">
        <v>148</v>
      </c>
      <c r="F495" s="67" t="s">
        <v>149</v>
      </c>
      <c r="G495" s="67" t="s">
        <v>150</v>
      </c>
      <c r="H495" s="67"/>
      <c r="I495" s="36">
        <f>I496</f>
        <v>6549</v>
      </c>
      <c r="J495" s="36">
        <f>J496</f>
        <v>6549</v>
      </c>
      <c r="K495" s="267">
        <f t="shared" si="77"/>
        <v>0</v>
      </c>
      <c r="L495" s="36">
        <f>L496</f>
        <v>4306.1</v>
      </c>
      <c r="M495" s="36">
        <f>M496</f>
        <v>3671.2</v>
      </c>
    </row>
    <row r="496" spans="1:13" s="284" customFormat="1" ht="14.25">
      <c r="A496" s="110" t="s">
        <v>755</v>
      </c>
      <c r="B496" s="266" t="s">
        <v>23</v>
      </c>
      <c r="C496" s="95" t="s">
        <v>108</v>
      </c>
      <c r="D496" s="67" t="s">
        <v>160</v>
      </c>
      <c r="E496" s="67" t="s">
        <v>148</v>
      </c>
      <c r="F496" s="67" t="s">
        <v>160</v>
      </c>
      <c r="G496" s="67" t="s">
        <v>150</v>
      </c>
      <c r="H496" s="67"/>
      <c r="I496" s="36">
        <f>I497+I499+I501+I504+I507+I510</f>
        <v>6549</v>
      </c>
      <c r="J496" s="36">
        <f>J497+J499+J501+J504+J507+J510</f>
        <v>6549</v>
      </c>
      <c r="K496" s="267">
        <f t="shared" si="77"/>
        <v>0</v>
      </c>
      <c r="L496" s="36">
        <f>L497+L499+L501+L504+L507+L510</f>
        <v>4306.1</v>
      </c>
      <c r="M496" s="36">
        <f>M497+M499+M501+M504+M507+M510</f>
        <v>3671.2</v>
      </c>
    </row>
    <row r="497" spans="1:13" s="154" customFormat="1" ht="75" hidden="1">
      <c r="A497" s="112" t="s">
        <v>162</v>
      </c>
      <c r="B497" s="270">
        <v>110</v>
      </c>
      <c r="C497" s="100" t="s">
        <v>108</v>
      </c>
      <c r="D497" s="99" t="s">
        <v>160</v>
      </c>
      <c r="E497" s="99" t="s">
        <v>148</v>
      </c>
      <c r="F497" s="99" t="s">
        <v>160</v>
      </c>
      <c r="G497" s="99" t="s">
        <v>161</v>
      </c>
      <c r="H497" s="99"/>
      <c r="I497" s="74"/>
      <c r="J497" s="74">
        <f>J498</f>
        <v>0</v>
      </c>
      <c r="K497" s="271">
        <f t="shared" si="77"/>
        <v>0</v>
      </c>
      <c r="L497" s="74">
        <f>L498</f>
        <v>0</v>
      </c>
      <c r="M497" s="74">
        <f>M498</f>
        <v>0</v>
      </c>
    </row>
    <row r="498" spans="1:13" s="154" customFormat="1" ht="15" hidden="1">
      <c r="A498" s="112" t="s">
        <v>687</v>
      </c>
      <c r="B498" s="270">
        <v>110</v>
      </c>
      <c r="C498" s="100" t="s">
        <v>108</v>
      </c>
      <c r="D498" s="99" t="s">
        <v>160</v>
      </c>
      <c r="E498" s="99" t="s">
        <v>148</v>
      </c>
      <c r="F498" s="99" t="s">
        <v>160</v>
      </c>
      <c r="G498" s="99" t="s">
        <v>161</v>
      </c>
      <c r="H498" s="99" t="s">
        <v>686</v>
      </c>
      <c r="I498" s="74"/>
      <c r="J498" s="74"/>
      <c r="K498" s="271">
        <f t="shared" si="77"/>
        <v>0</v>
      </c>
      <c r="L498" s="74"/>
      <c r="M498" s="74"/>
    </row>
    <row r="499" spans="1:13" s="154" customFormat="1" ht="75" hidden="1">
      <c r="A499" s="112" t="s">
        <v>162</v>
      </c>
      <c r="B499" s="270">
        <v>110</v>
      </c>
      <c r="C499" s="100" t="s">
        <v>108</v>
      </c>
      <c r="D499" s="99" t="s">
        <v>160</v>
      </c>
      <c r="E499" s="99" t="s">
        <v>148</v>
      </c>
      <c r="F499" s="99" t="s">
        <v>160</v>
      </c>
      <c r="G499" s="99" t="s">
        <v>163</v>
      </c>
      <c r="H499" s="99"/>
      <c r="I499" s="74"/>
      <c r="J499" s="74">
        <f>J500</f>
        <v>0</v>
      </c>
      <c r="K499" s="271">
        <f t="shared" si="77"/>
        <v>0</v>
      </c>
      <c r="L499" s="74">
        <f>L500</f>
        <v>0</v>
      </c>
      <c r="M499" s="74">
        <f>M500</f>
        <v>0</v>
      </c>
    </row>
    <row r="500" spans="1:13" s="154" customFormat="1" ht="15" hidden="1">
      <c r="A500" s="112" t="s">
        <v>687</v>
      </c>
      <c r="B500" s="270">
        <v>110</v>
      </c>
      <c r="C500" s="100" t="s">
        <v>108</v>
      </c>
      <c r="D500" s="99" t="s">
        <v>160</v>
      </c>
      <c r="E500" s="99" t="s">
        <v>148</v>
      </c>
      <c r="F500" s="99" t="s">
        <v>160</v>
      </c>
      <c r="G500" s="99" t="s">
        <v>163</v>
      </c>
      <c r="H500" s="99" t="s">
        <v>686</v>
      </c>
      <c r="I500" s="36"/>
      <c r="J500" s="273"/>
      <c r="K500" s="271">
        <f t="shared" si="77"/>
        <v>0</v>
      </c>
      <c r="L500" s="74"/>
      <c r="M500" s="74"/>
    </row>
    <row r="501" spans="1:13" s="269" customFormat="1" ht="45" hidden="1">
      <c r="A501" s="112" t="s">
        <v>813</v>
      </c>
      <c r="B501" s="270" t="s">
        <v>23</v>
      </c>
      <c r="C501" s="100" t="s">
        <v>108</v>
      </c>
      <c r="D501" s="99" t="s">
        <v>160</v>
      </c>
      <c r="E501" s="99" t="s">
        <v>148</v>
      </c>
      <c r="F501" s="99" t="s">
        <v>160</v>
      </c>
      <c r="G501" s="99" t="s">
        <v>164</v>
      </c>
      <c r="H501" s="99"/>
      <c r="I501" s="74"/>
      <c r="J501" s="74">
        <f>J502+J503</f>
        <v>0</v>
      </c>
      <c r="K501" s="271">
        <f t="shared" si="77"/>
        <v>0</v>
      </c>
      <c r="L501" s="74">
        <f>L502+L503</f>
        <v>0</v>
      </c>
      <c r="M501" s="74">
        <f>M502+M503</f>
        <v>0</v>
      </c>
    </row>
    <row r="502" spans="1:13" s="269" customFormat="1" ht="15" hidden="1">
      <c r="A502" s="112" t="s">
        <v>687</v>
      </c>
      <c r="B502" s="270" t="s">
        <v>23</v>
      </c>
      <c r="C502" s="100" t="s">
        <v>108</v>
      </c>
      <c r="D502" s="99" t="s">
        <v>160</v>
      </c>
      <c r="E502" s="99" t="s">
        <v>148</v>
      </c>
      <c r="F502" s="99" t="s">
        <v>160</v>
      </c>
      <c r="G502" s="99" t="s">
        <v>164</v>
      </c>
      <c r="H502" s="99" t="s">
        <v>686</v>
      </c>
      <c r="I502" s="119"/>
      <c r="J502" s="119">
        <f>1294.2-1294.2</f>
        <v>0</v>
      </c>
      <c r="K502" s="271">
        <f t="shared" si="77"/>
        <v>0</v>
      </c>
      <c r="L502" s="74">
        <f>1411.9-1411.9</f>
        <v>0</v>
      </c>
      <c r="M502" s="74">
        <f>1047.5-1047.5</f>
        <v>0</v>
      </c>
    </row>
    <row r="503" spans="1:13" s="269" customFormat="1" ht="33.75" customHeight="1" hidden="1">
      <c r="A503" s="112" t="s">
        <v>694</v>
      </c>
      <c r="B503" s="270">
        <v>110</v>
      </c>
      <c r="C503" s="100" t="s">
        <v>108</v>
      </c>
      <c r="D503" s="99" t="s">
        <v>160</v>
      </c>
      <c r="E503" s="99" t="s">
        <v>148</v>
      </c>
      <c r="F503" s="99" t="s">
        <v>160</v>
      </c>
      <c r="G503" s="99" t="s">
        <v>164</v>
      </c>
      <c r="H503" s="99" t="s">
        <v>693</v>
      </c>
      <c r="I503" s="74"/>
      <c r="J503" s="120"/>
      <c r="K503" s="271">
        <f t="shared" si="77"/>
        <v>0</v>
      </c>
      <c r="L503" s="74"/>
      <c r="M503" s="74"/>
    </row>
    <row r="504" spans="1:13" s="269" customFormat="1" ht="60">
      <c r="A504" s="112" t="s">
        <v>727</v>
      </c>
      <c r="B504" s="270" t="s">
        <v>23</v>
      </c>
      <c r="C504" s="100" t="s">
        <v>108</v>
      </c>
      <c r="D504" s="99" t="s">
        <v>160</v>
      </c>
      <c r="E504" s="99" t="s">
        <v>148</v>
      </c>
      <c r="F504" s="99" t="s">
        <v>160</v>
      </c>
      <c r="G504" s="99" t="s">
        <v>728</v>
      </c>
      <c r="H504" s="99"/>
      <c r="I504" s="74">
        <f>I505+I506</f>
        <v>4550</v>
      </c>
      <c r="J504" s="74">
        <f>J505+J506</f>
        <v>4550</v>
      </c>
      <c r="K504" s="271">
        <f t="shared" si="77"/>
        <v>0</v>
      </c>
      <c r="L504" s="74">
        <f>L505+L506</f>
        <v>2650</v>
      </c>
      <c r="M504" s="74">
        <f>M505+M506</f>
        <v>2015.1</v>
      </c>
    </row>
    <row r="505" spans="1:13" s="269" customFormat="1" ht="15" hidden="1">
      <c r="A505" s="112" t="s">
        <v>687</v>
      </c>
      <c r="B505" s="270" t="s">
        <v>23</v>
      </c>
      <c r="C505" s="100" t="s">
        <v>108</v>
      </c>
      <c r="D505" s="99" t="s">
        <v>160</v>
      </c>
      <c r="E505" s="99" t="s">
        <v>148</v>
      </c>
      <c r="F505" s="99" t="s">
        <v>160</v>
      </c>
      <c r="G505" s="99" t="s">
        <v>728</v>
      </c>
      <c r="H505" s="99" t="s">
        <v>686</v>
      </c>
      <c r="I505" s="74"/>
      <c r="J505" s="74"/>
      <c r="K505" s="271"/>
      <c r="L505" s="74"/>
      <c r="M505" s="74"/>
    </row>
    <row r="506" spans="1:13" s="269" customFormat="1" ht="34.5" customHeight="1">
      <c r="A506" s="112" t="s">
        <v>694</v>
      </c>
      <c r="B506" s="270" t="s">
        <v>23</v>
      </c>
      <c r="C506" s="100" t="s">
        <v>108</v>
      </c>
      <c r="D506" s="99" t="s">
        <v>160</v>
      </c>
      <c r="E506" s="99" t="s">
        <v>148</v>
      </c>
      <c r="F506" s="99" t="s">
        <v>160</v>
      </c>
      <c r="G506" s="99" t="s">
        <v>728</v>
      </c>
      <c r="H506" s="99" t="s">
        <v>693</v>
      </c>
      <c r="I506" s="74">
        <f>1873.1+826.9+1850</f>
        <v>4550</v>
      </c>
      <c r="J506" s="74">
        <f>1873.1+826.9+1850</f>
        <v>4550</v>
      </c>
      <c r="K506" s="271">
        <f aca="true" t="shared" si="78" ref="K506:K515">J506-I506</f>
        <v>0</v>
      </c>
      <c r="L506" s="74">
        <f>2464.7-714.7+900</f>
        <v>2650</v>
      </c>
      <c r="M506" s="74">
        <f>1306.2+708.9</f>
        <v>2015.1</v>
      </c>
    </row>
    <row r="507" spans="1:13" s="268" customFormat="1" ht="30" hidden="1">
      <c r="A507" s="285" t="s">
        <v>830</v>
      </c>
      <c r="B507" s="270" t="s">
        <v>23</v>
      </c>
      <c r="C507" s="100" t="s">
        <v>108</v>
      </c>
      <c r="D507" s="99" t="s">
        <v>160</v>
      </c>
      <c r="E507" s="99" t="s">
        <v>148</v>
      </c>
      <c r="F507" s="99" t="s">
        <v>160</v>
      </c>
      <c r="G507" s="99" t="s">
        <v>165</v>
      </c>
      <c r="H507" s="99"/>
      <c r="I507" s="74"/>
      <c r="J507" s="74">
        <f>J508+J509</f>
        <v>0</v>
      </c>
      <c r="K507" s="271">
        <f t="shared" si="78"/>
        <v>0</v>
      </c>
      <c r="L507" s="74">
        <f>L508+L509</f>
        <v>0</v>
      </c>
      <c r="M507" s="74">
        <f>M508+M509</f>
        <v>0</v>
      </c>
    </row>
    <row r="508" spans="1:13" s="268" customFormat="1" ht="15" hidden="1">
      <c r="A508" s="112" t="s">
        <v>687</v>
      </c>
      <c r="B508" s="270" t="s">
        <v>23</v>
      </c>
      <c r="C508" s="100" t="s">
        <v>108</v>
      </c>
      <c r="D508" s="99" t="s">
        <v>160</v>
      </c>
      <c r="E508" s="99" t="s">
        <v>148</v>
      </c>
      <c r="F508" s="99" t="s">
        <v>160</v>
      </c>
      <c r="G508" s="99" t="s">
        <v>165</v>
      </c>
      <c r="H508" s="99" t="s">
        <v>686</v>
      </c>
      <c r="I508" s="74"/>
      <c r="J508" s="120"/>
      <c r="K508" s="271">
        <f t="shared" si="78"/>
        <v>0</v>
      </c>
      <c r="L508" s="74"/>
      <c r="M508" s="74"/>
    </row>
    <row r="509" spans="1:13" s="268" customFormat="1" ht="45" hidden="1">
      <c r="A509" s="112" t="s">
        <v>694</v>
      </c>
      <c r="B509" s="270">
        <v>110</v>
      </c>
      <c r="C509" s="100" t="s">
        <v>108</v>
      </c>
      <c r="D509" s="99" t="s">
        <v>160</v>
      </c>
      <c r="E509" s="99" t="s">
        <v>148</v>
      </c>
      <c r="F509" s="99" t="s">
        <v>160</v>
      </c>
      <c r="G509" s="99" t="s">
        <v>165</v>
      </c>
      <c r="H509" s="99" t="s">
        <v>693</v>
      </c>
      <c r="I509" s="74"/>
      <c r="J509" s="256"/>
      <c r="K509" s="271">
        <f t="shared" si="78"/>
        <v>0</v>
      </c>
      <c r="L509" s="74"/>
      <c r="M509" s="74"/>
    </row>
    <row r="510" spans="1:13" ht="30">
      <c r="A510" s="111" t="s">
        <v>169</v>
      </c>
      <c r="B510" s="270">
        <v>110</v>
      </c>
      <c r="C510" s="100" t="s">
        <v>108</v>
      </c>
      <c r="D510" s="99" t="s">
        <v>160</v>
      </c>
      <c r="E510" s="99" t="s">
        <v>148</v>
      </c>
      <c r="F510" s="99" t="s">
        <v>160</v>
      </c>
      <c r="G510" s="99" t="s">
        <v>170</v>
      </c>
      <c r="H510" s="99"/>
      <c r="I510" s="74">
        <f>I511</f>
        <v>1999</v>
      </c>
      <c r="J510" s="74">
        <f>J511</f>
        <v>1999</v>
      </c>
      <c r="K510" s="271">
        <f t="shared" si="78"/>
        <v>0</v>
      </c>
      <c r="L510" s="74">
        <f>L511</f>
        <v>1656.1</v>
      </c>
      <c r="M510" s="74">
        <f>M511</f>
        <v>1656.1</v>
      </c>
    </row>
    <row r="511" spans="1:13" ht="15">
      <c r="A511" s="111" t="s">
        <v>687</v>
      </c>
      <c r="B511" s="270">
        <v>110</v>
      </c>
      <c r="C511" s="100" t="s">
        <v>108</v>
      </c>
      <c r="D511" s="99" t="s">
        <v>160</v>
      </c>
      <c r="E511" s="99" t="s">
        <v>148</v>
      </c>
      <c r="F511" s="99" t="s">
        <v>160</v>
      </c>
      <c r="G511" s="99" t="s">
        <v>170</v>
      </c>
      <c r="H511" s="99" t="s">
        <v>686</v>
      </c>
      <c r="I511" s="74">
        <f>1312.1+779.9-93</f>
        <v>1999</v>
      </c>
      <c r="J511" s="74">
        <f>1312.1+779.9-93</f>
        <v>1999</v>
      </c>
      <c r="K511" s="271">
        <f t="shared" si="78"/>
        <v>0</v>
      </c>
      <c r="L511" s="74">
        <v>1656.1</v>
      </c>
      <c r="M511" s="74">
        <v>1656.1</v>
      </c>
    </row>
    <row r="512" spans="1:13" ht="42.75">
      <c r="A512" s="110" t="s">
        <v>222</v>
      </c>
      <c r="B512" s="266">
        <v>110</v>
      </c>
      <c r="C512" s="95" t="s">
        <v>108</v>
      </c>
      <c r="D512" s="67" t="s">
        <v>223</v>
      </c>
      <c r="E512" s="67" t="s">
        <v>148</v>
      </c>
      <c r="F512" s="67" t="s">
        <v>149</v>
      </c>
      <c r="G512" s="67" t="s">
        <v>150</v>
      </c>
      <c r="H512" s="67"/>
      <c r="I512" s="36">
        <f aca="true" t="shared" si="79" ref="I512:M513">I513</f>
        <v>8283.6</v>
      </c>
      <c r="J512" s="36">
        <f t="shared" si="79"/>
        <v>8283.6</v>
      </c>
      <c r="K512" s="267">
        <f t="shared" si="78"/>
        <v>0</v>
      </c>
      <c r="L512" s="36">
        <f t="shared" si="79"/>
        <v>8243.7</v>
      </c>
      <c r="M512" s="36">
        <f t="shared" si="79"/>
        <v>8243.7</v>
      </c>
    </row>
    <row r="513" spans="1:13" ht="28.5">
      <c r="A513" s="124" t="s">
        <v>707</v>
      </c>
      <c r="B513" s="266">
        <v>110</v>
      </c>
      <c r="C513" s="95" t="s">
        <v>108</v>
      </c>
      <c r="D513" s="67" t="s">
        <v>223</v>
      </c>
      <c r="E513" s="67" t="s">
        <v>280</v>
      </c>
      <c r="F513" s="67" t="s">
        <v>149</v>
      </c>
      <c r="G513" s="67" t="s">
        <v>150</v>
      </c>
      <c r="H513" s="67"/>
      <c r="I513" s="36">
        <f t="shared" si="79"/>
        <v>8283.6</v>
      </c>
      <c r="J513" s="36">
        <f t="shared" si="79"/>
        <v>8283.6</v>
      </c>
      <c r="K513" s="267">
        <f t="shared" si="78"/>
        <v>0</v>
      </c>
      <c r="L513" s="36">
        <f t="shared" si="79"/>
        <v>8243.7</v>
      </c>
      <c r="M513" s="36">
        <f t="shared" si="79"/>
        <v>8243.7</v>
      </c>
    </row>
    <row r="514" spans="1:13" s="276" customFormat="1" ht="28.5">
      <c r="A514" s="125" t="s">
        <v>708</v>
      </c>
      <c r="B514" s="266">
        <v>110</v>
      </c>
      <c r="C514" s="95" t="s">
        <v>108</v>
      </c>
      <c r="D514" s="67" t="s">
        <v>223</v>
      </c>
      <c r="E514" s="67" t="s">
        <v>280</v>
      </c>
      <c r="F514" s="67" t="s">
        <v>147</v>
      </c>
      <c r="G514" s="67" t="s">
        <v>150</v>
      </c>
      <c r="H514" s="67"/>
      <c r="I514" s="36">
        <f>I515+I517+I519+I522+I524+I526</f>
        <v>8283.6</v>
      </c>
      <c r="J514" s="36">
        <f>J515+J517+J519+J522+J524+J526</f>
        <v>8283.6</v>
      </c>
      <c r="K514" s="267">
        <f t="shared" si="78"/>
        <v>0</v>
      </c>
      <c r="L514" s="36">
        <f>L515+L517+L519+L522+L524+L526</f>
        <v>8243.7</v>
      </c>
      <c r="M514" s="36">
        <f>M515+M517+M519+M522+M524+M526</f>
        <v>8243.7</v>
      </c>
    </row>
    <row r="515" spans="1:13" s="269" customFormat="1" ht="30">
      <c r="A515" s="111" t="s">
        <v>304</v>
      </c>
      <c r="B515" s="270">
        <v>110</v>
      </c>
      <c r="C515" s="100" t="s">
        <v>108</v>
      </c>
      <c r="D515" s="99" t="s">
        <v>223</v>
      </c>
      <c r="E515" s="99" t="s">
        <v>280</v>
      </c>
      <c r="F515" s="99" t="s">
        <v>147</v>
      </c>
      <c r="G515" s="99" t="s">
        <v>475</v>
      </c>
      <c r="H515" s="99"/>
      <c r="I515" s="74">
        <f>I516</f>
        <v>1708.2</v>
      </c>
      <c r="J515" s="74">
        <f>J516</f>
        <v>1708.2</v>
      </c>
      <c r="K515" s="271">
        <f t="shared" si="78"/>
        <v>0</v>
      </c>
      <c r="L515" s="74">
        <f>L516</f>
        <v>1708.2</v>
      </c>
      <c r="M515" s="74">
        <f>M516</f>
        <v>1708.2</v>
      </c>
    </row>
    <row r="516" spans="1:13" s="269" customFormat="1" ht="30">
      <c r="A516" s="111" t="s">
        <v>683</v>
      </c>
      <c r="B516" s="270">
        <v>110</v>
      </c>
      <c r="C516" s="100" t="s">
        <v>108</v>
      </c>
      <c r="D516" s="99" t="s">
        <v>223</v>
      </c>
      <c r="E516" s="99" t="s">
        <v>280</v>
      </c>
      <c r="F516" s="99" t="s">
        <v>147</v>
      </c>
      <c r="G516" s="99" t="s">
        <v>475</v>
      </c>
      <c r="H516" s="99" t="s">
        <v>682</v>
      </c>
      <c r="I516" s="74">
        <v>1708.2</v>
      </c>
      <c r="J516" s="74">
        <v>1708.2</v>
      </c>
      <c r="K516" s="271">
        <f aca="true" t="shared" si="80" ref="K516:K523">J516-I516</f>
        <v>0</v>
      </c>
      <c r="L516" s="74">
        <v>1708.2</v>
      </c>
      <c r="M516" s="74">
        <v>1708.2</v>
      </c>
    </row>
    <row r="517" spans="1:13" ht="90">
      <c r="A517" s="111" t="s">
        <v>319</v>
      </c>
      <c r="B517" s="270">
        <v>110</v>
      </c>
      <c r="C517" s="100" t="s">
        <v>108</v>
      </c>
      <c r="D517" s="99" t="s">
        <v>223</v>
      </c>
      <c r="E517" s="99" t="s">
        <v>280</v>
      </c>
      <c r="F517" s="99" t="s">
        <v>147</v>
      </c>
      <c r="G517" s="99" t="s">
        <v>320</v>
      </c>
      <c r="H517" s="99"/>
      <c r="I517" s="74">
        <f>I518</f>
        <v>1038.3</v>
      </c>
      <c r="J517" s="74">
        <f>J518</f>
        <v>1038.3</v>
      </c>
      <c r="K517" s="271">
        <f t="shared" si="80"/>
        <v>0</v>
      </c>
      <c r="L517" s="74">
        <f>L518</f>
        <v>998.4</v>
      </c>
      <c r="M517" s="74">
        <f>M518</f>
        <v>998.4</v>
      </c>
    </row>
    <row r="518" spans="1:13" ht="15">
      <c r="A518" s="111" t="s">
        <v>687</v>
      </c>
      <c r="B518" s="270">
        <v>110</v>
      </c>
      <c r="C518" s="100" t="s">
        <v>108</v>
      </c>
      <c r="D518" s="99" t="s">
        <v>223</v>
      </c>
      <c r="E518" s="99" t="s">
        <v>280</v>
      </c>
      <c r="F518" s="99" t="s">
        <v>147</v>
      </c>
      <c r="G518" s="99" t="s">
        <v>320</v>
      </c>
      <c r="H518" s="99" t="s">
        <v>686</v>
      </c>
      <c r="I518" s="74">
        <f>998.4+39.9</f>
        <v>1038.3</v>
      </c>
      <c r="J518" s="74">
        <f>998.4+39.9</f>
        <v>1038.3</v>
      </c>
      <c r="K518" s="271">
        <f t="shared" si="80"/>
        <v>0</v>
      </c>
      <c r="L518" s="74">
        <v>998.4</v>
      </c>
      <c r="M518" s="74">
        <v>998.4</v>
      </c>
    </row>
    <row r="519" spans="1:13" ht="90">
      <c r="A519" s="111" t="s">
        <v>476</v>
      </c>
      <c r="B519" s="270">
        <v>110</v>
      </c>
      <c r="C519" s="100" t="s">
        <v>108</v>
      </c>
      <c r="D519" s="99" t="s">
        <v>223</v>
      </c>
      <c r="E519" s="99" t="s">
        <v>280</v>
      </c>
      <c r="F519" s="99" t="s">
        <v>147</v>
      </c>
      <c r="G519" s="99" t="s">
        <v>321</v>
      </c>
      <c r="H519" s="99"/>
      <c r="I519" s="74">
        <f>I520+I521</f>
        <v>160</v>
      </c>
      <c r="J519" s="74">
        <f>J520+J521</f>
        <v>160</v>
      </c>
      <c r="K519" s="271">
        <f t="shared" si="80"/>
        <v>0</v>
      </c>
      <c r="L519" s="74">
        <f>L520+L521</f>
        <v>160</v>
      </c>
      <c r="M519" s="74">
        <f>M520+M521</f>
        <v>160</v>
      </c>
    </row>
    <row r="520" spans="1:13" s="268" customFormat="1" ht="30">
      <c r="A520" s="111" t="s">
        <v>683</v>
      </c>
      <c r="B520" s="270">
        <v>110</v>
      </c>
      <c r="C520" s="100" t="s">
        <v>108</v>
      </c>
      <c r="D520" s="99" t="s">
        <v>223</v>
      </c>
      <c r="E520" s="99" t="s">
        <v>280</v>
      </c>
      <c r="F520" s="99" t="s">
        <v>147</v>
      </c>
      <c r="G520" s="99" t="s">
        <v>321</v>
      </c>
      <c r="H520" s="99" t="s">
        <v>682</v>
      </c>
      <c r="I520" s="119">
        <v>160</v>
      </c>
      <c r="J520" s="119">
        <v>160</v>
      </c>
      <c r="K520" s="271">
        <f t="shared" si="80"/>
        <v>0</v>
      </c>
      <c r="L520" s="74">
        <v>160</v>
      </c>
      <c r="M520" s="74">
        <v>160</v>
      </c>
    </row>
    <row r="521" spans="1:13" s="268" customFormat="1" ht="15" hidden="1">
      <c r="A521" s="111" t="s">
        <v>687</v>
      </c>
      <c r="B521" s="270">
        <v>110</v>
      </c>
      <c r="C521" s="100" t="s">
        <v>108</v>
      </c>
      <c r="D521" s="99" t="s">
        <v>223</v>
      </c>
      <c r="E521" s="99" t="s">
        <v>280</v>
      </c>
      <c r="F521" s="99" t="s">
        <v>147</v>
      </c>
      <c r="G521" s="99" t="s">
        <v>321</v>
      </c>
      <c r="H521" s="99" t="s">
        <v>686</v>
      </c>
      <c r="I521" s="74"/>
      <c r="J521" s="74"/>
      <c r="K521" s="271">
        <f t="shared" si="80"/>
        <v>0</v>
      </c>
      <c r="L521" s="74"/>
      <c r="M521" s="74"/>
    </row>
    <row r="522" spans="1:13" s="268" customFormat="1" ht="60" hidden="1">
      <c r="A522" s="111" t="s">
        <v>322</v>
      </c>
      <c r="B522" s="270">
        <v>110</v>
      </c>
      <c r="C522" s="100" t="s">
        <v>108</v>
      </c>
      <c r="D522" s="99" t="s">
        <v>223</v>
      </c>
      <c r="E522" s="99" t="s">
        <v>280</v>
      </c>
      <c r="F522" s="99" t="s">
        <v>147</v>
      </c>
      <c r="G522" s="99" t="s">
        <v>323</v>
      </c>
      <c r="H522" s="99"/>
      <c r="I522" s="74"/>
      <c r="J522" s="74">
        <f>J523</f>
        <v>0</v>
      </c>
      <c r="K522" s="271">
        <f t="shared" si="80"/>
        <v>0</v>
      </c>
      <c r="L522" s="74">
        <f>L523</f>
        <v>0</v>
      </c>
      <c r="M522" s="74">
        <f>M523</f>
        <v>0</v>
      </c>
    </row>
    <row r="523" spans="1:13" s="268" customFormat="1" ht="15" hidden="1">
      <c r="A523" s="111" t="s">
        <v>687</v>
      </c>
      <c r="B523" s="270">
        <v>110</v>
      </c>
      <c r="C523" s="100" t="s">
        <v>108</v>
      </c>
      <c r="D523" s="99" t="s">
        <v>223</v>
      </c>
      <c r="E523" s="99" t="s">
        <v>280</v>
      </c>
      <c r="F523" s="99" t="s">
        <v>147</v>
      </c>
      <c r="G523" s="99" t="s">
        <v>323</v>
      </c>
      <c r="H523" s="99" t="s">
        <v>686</v>
      </c>
      <c r="I523" s="74"/>
      <c r="J523" s="74"/>
      <c r="K523" s="271">
        <f t="shared" si="80"/>
        <v>0</v>
      </c>
      <c r="L523" s="74"/>
      <c r="M523" s="74"/>
    </row>
    <row r="524" spans="1:13" s="268" customFormat="1" ht="165">
      <c r="A524" s="111" t="s">
        <v>482</v>
      </c>
      <c r="B524" s="270">
        <v>110</v>
      </c>
      <c r="C524" s="100" t="s">
        <v>108</v>
      </c>
      <c r="D524" s="99" t="s">
        <v>223</v>
      </c>
      <c r="E524" s="99" t="s">
        <v>280</v>
      </c>
      <c r="F524" s="99" t="s">
        <v>147</v>
      </c>
      <c r="G524" s="99" t="s">
        <v>324</v>
      </c>
      <c r="H524" s="99"/>
      <c r="I524" s="74">
        <f>I525</f>
        <v>5285.6</v>
      </c>
      <c r="J524" s="74">
        <f>J525</f>
        <v>5285.6</v>
      </c>
      <c r="K524" s="271">
        <f>J524-I524</f>
        <v>0</v>
      </c>
      <c r="L524" s="74">
        <f>L525</f>
        <v>5285.6</v>
      </c>
      <c r="M524" s="74">
        <f>M525</f>
        <v>5285.6</v>
      </c>
    </row>
    <row r="525" spans="1:13" s="268" customFormat="1" ht="15">
      <c r="A525" s="111" t="s">
        <v>687</v>
      </c>
      <c r="B525" s="270">
        <v>110</v>
      </c>
      <c r="C525" s="100" t="s">
        <v>108</v>
      </c>
      <c r="D525" s="99" t="s">
        <v>223</v>
      </c>
      <c r="E525" s="99" t="s">
        <v>280</v>
      </c>
      <c r="F525" s="99" t="s">
        <v>147</v>
      </c>
      <c r="G525" s="99" t="s">
        <v>324</v>
      </c>
      <c r="H525" s="99" t="s">
        <v>686</v>
      </c>
      <c r="I525" s="74">
        <v>5285.6</v>
      </c>
      <c r="J525" s="74">
        <v>5285.6</v>
      </c>
      <c r="K525" s="271">
        <f>J525-I525</f>
        <v>0</v>
      </c>
      <c r="L525" s="74">
        <v>5285.6</v>
      </c>
      <c r="M525" s="74">
        <v>5285.6</v>
      </c>
    </row>
    <row r="526" spans="1:13" s="269" customFormat="1" ht="45">
      <c r="A526" s="111" t="s">
        <v>325</v>
      </c>
      <c r="B526" s="270">
        <v>110</v>
      </c>
      <c r="C526" s="100" t="s">
        <v>108</v>
      </c>
      <c r="D526" s="99" t="s">
        <v>223</v>
      </c>
      <c r="E526" s="99" t="s">
        <v>280</v>
      </c>
      <c r="F526" s="99" t="s">
        <v>147</v>
      </c>
      <c r="G526" s="99" t="s">
        <v>326</v>
      </c>
      <c r="H526" s="99"/>
      <c r="I526" s="74">
        <f>I527</f>
        <v>91.5</v>
      </c>
      <c r="J526" s="74">
        <f>J527</f>
        <v>91.5</v>
      </c>
      <c r="K526" s="271">
        <f>J526-I526</f>
        <v>0</v>
      </c>
      <c r="L526" s="74">
        <f>L527</f>
        <v>91.5</v>
      </c>
      <c r="M526" s="74">
        <f>M527</f>
        <v>91.5</v>
      </c>
    </row>
    <row r="527" spans="1:13" s="269" customFormat="1" ht="30">
      <c r="A527" s="111" t="s">
        <v>683</v>
      </c>
      <c r="B527" s="270">
        <v>110</v>
      </c>
      <c r="C527" s="100" t="s">
        <v>108</v>
      </c>
      <c r="D527" s="99" t="s">
        <v>223</v>
      </c>
      <c r="E527" s="99" t="s">
        <v>280</v>
      </c>
      <c r="F527" s="99" t="s">
        <v>147</v>
      </c>
      <c r="G527" s="99" t="s">
        <v>326</v>
      </c>
      <c r="H527" s="99" t="s">
        <v>682</v>
      </c>
      <c r="I527" s="74">
        <v>91.5</v>
      </c>
      <c r="J527" s="74">
        <v>91.5</v>
      </c>
      <c r="K527" s="271">
        <f>J527-I527</f>
        <v>0</v>
      </c>
      <c r="L527" s="74">
        <v>91.5</v>
      </c>
      <c r="M527" s="74">
        <v>91.5</v>
      </c>
    </row>
    <row r="528" spans="1:13" s="269" customFormat="1" ht="44.25" customHeight="1" hidden="1">
      <c r="A528" s="127" t="s">
        <v>424</v>
      </c>
      <c r="B528" s="266" t="s">
        <v>23</v>
      </c>
      <c r="C528" s="95" t="s">
        <v>108</v>
      </c>
      <c r="D528" s="67" t="s">
        <v>425</v>
      </c>
      <c r="E528" s="67" t="s">
        <v>148</v>
      </c>
      <c r="F528" s="67" t="s">
        <v>149</v>
      </c>
      <c r="G528" s="67" t="s">
        <v>150</v>
      </c>
      <c r="H528" s="67"/>
      <c r="I528" s="36"/>
      <c r="J528" s="36">
        <f aca="true" t="shared" si="81" ref="J528:M529">J529</f>
        <v>0</v>
      </c>
      <c r="K528" s="267">
        <f aca="true" t="shared" si="82" ref="K528:K545">J528-I528</f>
        <v>0</v>
      </c>
      <c r="L528" s="36">
        <f t="shared" si="81"/>
        <v>0</v>
      </c>
      <c r="M528" s="36">
        <f t="shared" si="81"/>
        <v>0</v>
      </c>
    </row>
    <row r="529" spans="1:13" s="269" customFormat="1" ht="15" hidden="1">
      <c r="A529" s="124" t="s">
        <v>399</v>
      </c>
      <c r="B529" s="266" t="s">
        <v>23</v>
      </c>
      <c r="C529" s="95" t="s">
        <v>108</v>
      </c>
      <c r="D529" s="67" t="s">
        <v>425</v>
      </c>
      <c r="E529" s="67" t="s">
        <v>329</v>
      </c>
      <c r="F529" s="67" t="s">
        <v>149</v>
      </c>
      <c r="G529" s="67" t="s">
        <v>150</v>
      </c>
      <c r="H529" s="67"/>
      <c r="I529" s="36"/>
      <c r="J529" s="36">
        <f t="shared" si="81"/>
        <v>0</v>
      </c>
      <c r="K529" s="267">
        <f t="shared" si="82"/>
        <v>0</v>
      </c>
      <c r="L529" s="36">
        <f t="shared" si="81"/>
        <v>0</v>
      </c>
      <c r="M529" s="36">
        <f t="shared" si="81"/>
        <v>0</v>
      </c>
    </row>
    <row r="530" spans="1:13" s="268" customFormat="1" ht="14.25" hidden="1">
      <c r="A530" s="127" t="s">
        <v>399</v>
      </c>
      <c r="B530" s="266" t="s">
        <v>23</v>
      </c>
      <c r="C530" s="95" t="s">
        <v>108</v>
      </c>
      <c r="D530" s="67" t="s">
        <v>425</v>
      </c>
      <c r="E530" s="67" t="s">
        <v>329</v>
      </c>
      <c r="F530" s="67" t="s">
        <v>147</v>
      </c>
      <c r="G530" s="67" t="s">
        <v>150</v>
      </c>
      <c r="H530" s="67"/>
      <c r="I530" s="36"/>
      <c r="J530" s="36">
        <f>J531+J533+J535+J537</f>
        <v>0</v>
      </c>
      <c r="K530" s="267">
        <f t="shared" si="82"/>
        <v>0</v>
      </c>
      <c r="L530" s="36">
        <f>L531+L533+L535+L537</f>
        <v>0</v>
      </c>
      <c r="M530" s="36">
        <f>M531+M533+M535+M537</f>
        <v>0</v>
      </c>
    </row>
    <row r="531" spans="1:13" s="269" customFormat="1" ht="60" hidden="1">
      <c r="A531" s="115" t="s">
        <v>305</v>
      </c>
      <c r="B531" s="270" t="s">
        <v>23</v>
      </c>
      <c r="C531" s="100" t="s">
        <v>108</v>
      </c>
      <c r="D531" s="99" t="s">
        <v>425</v>
      </c>
      <c r="E531" s="99" t="s">
        <v>329</v>
      </c>
      <c r="F531" s="99" t="s">
        <v>147</v>
      </c>
      <c r="G531" s="99" t="s">
        <v>306</v>
      </c>
      <c r="H531" s="99"/>
      <c r="I531" s="74"/>
      <c r="J531" s="74">
        <f>J532</f>
        <v>0</v>
      </c>
      <c r="K531" s="271">
        <f t="shared" si="82"/>
        <v>0</v>
      </c>
      <c r="L531" s="74">
        <f>L532</f>
        <v>0</v>
      </c>
      <c r="M531" s="74">
        <f>M532</f>
        <v>0</v>
      </c>
    </row>
    <row r="532" spans="1:13" s="269" customFormat="1" ht="15" hidden="1">
      <c r="A532" s="115" t="s">
        <v>684</v>
      </c>
      <c r="B532" s="270" t="s">
        <v>23</v>
      </c>
      <c r="C532" s="100" t="s">
        <v>108</v>
      </c>
      <c r="D532" s="99" t="s">
        <v>425</v>
      </c>
      <c r="E532" s="99" t="s">
        <v>329</v>
      </c>
      <c r="F532" s="99" t="s">
        <v>147</v>
      </c>
      <c r="G532" s="99" t="s">
        <v>306</v>
      </c>
      <c r="H532" s="99" t="s">
        <v>685</v>
      </c>
      <c r="I532" s="74"/>
      <c r="J532" s="273"/>
      <c r="K532" s="271">
        <f t="shared" si="82"/>
        <v>0</v>
      </c>
      <c r="L532" s="74"/>
      <c r="M532" s="74"/>
    </row>
    <row r="533" spans="1:13" s="269" customFormat="1" ht="60" hidden="1">
      <c r="A533" s="115" t="s">
        <v>307</v>
      </c>
      <c r="B533" s="270" t="s">
        <v>23</v>
      </c>
      <c r="C533" s="100" t="s">
        <v>108</v>
      </c>
      <c r="D533" s="99" t="s">
        <v>425</v>
      </c>
      <c r="E533" s="99" t="s">
        <v>329</v>
      </c>
      <c r="F533" s="99" t="s">
        <v>147</v>
      </c>
      <c r="G533" s="99" t="s">
        <v>308</v>
      </c>
      <c r="H533" s="99"/>
      <c r="I533" s="74"/>
      <c r="J533" s="74">
        <f>J534</f>
        <v>0</v>
      </c>
      <c r="K533" s="271">
        <f t="shared" si="82"/>
        <v>0</v>
      </c>
      <c r="L533" s="74">
        <f>L534</f>
        <v>0</v>
      </c>
      <c r="M533" s="74">
        <f>M534</f>
        <v>0</v>
      </c>
    </row>
    <row r="534" spans="1:13" s="269" customFormat="1" ht="15" hidden="1">
      <c r="A534" s="115" t="s">
        <v>684</v>
      </c>
      <c r="B534" s="270" t="s">
        <v>23</v>
      </c>
      <c r="C534" s="100" t="s">
        <v>108</v>
      </c>
      <c r="D534" s="99" t="s">
        <v>425</v>
      </c>
      <c r="E534" s="99" t="s">
        <v>329</v>
      </c>
      <c r="F534" s="99" t="s">
        <v>147</v>
      </c>
      <c r="G534" s="99" t="s">
        <v>308</v>
      </c>
      <c r="H534" s="99" t="s">
        <v>685</v>
      </c>
      <c r="I534" s="74"/>
      <c r="J534" s="120"/>
      <c r="K534" s="271">
        <f t="shared" si="82"/>
        <v>0</v>
      </c>
      <c r="L534" s="74"/>
      <c r="M534" s="74"/>
    </row>
    <row r="535" spans="1:13" s="269" customFormat="1" ht="60" hidden="1">
      <c r="A535" s="115" t="s">
        <v>309</v>
      </c>
      <c r="B535" s="270" t="s">
        <v>23</v>
      </c>
      <c r="C535" s="100" t="s">
        <v>108</v>
      </c>
      <c r="D535" s="99" t="s">
        <v>425</v>
      </c>
      <c r="E535" s="99" t="s">
        <v>329</v>
      </c>
      <c r="F535" s="99" t="s">
        <v>147</v>
      </c>
      <c r="G535" s="99" t="s">
        <v>310</v>
      </c>
      <c r="H535" s="99"/>
      <c r="I535" s="74"/>
      <c r="J535" s="74">
        <f>J536</f>
        <v>0</v>
      </c>
      <c r="K535" s="271">
        <f t="shared" si="82"/>
        <v>0</v>
      </c>
      <c r="L535" s="74">
        <f>L536</f>
        <v>0</v>
      </c>
      <c r="M535" s="74">
        <f>M536</f>
        <v>0</v>
      </c>
    </row>
    <row r="536" spans="1:13" s="268" customFormat="1" ht="15" hidden="1">
      <c r="A536" s="115" t="s">
        <v>684</v>
      </c>
      <c r="B536" s="270" t="s">
        <v>23</v>
      </c>
      <c r="C536" s="100" t="s">
        <v>108</v>
      </c>
      <c r="D536" s="99" t="s">
        <v>425</v>
      </c>
      <c r="E536" s="99" t="s">
        <v>329</v>
      </c>
      <c r="F536" s="99" t="s">
        <v>147</v>
      </c>
      <c r="G536" s="99" t="s">
        <v>310</v>
      </c>
      <c r="H536" s="99" t="s">
        <v>685</v>
      </c>
      <c r="I536" s="74"/>
      <c r="J536" s="120"/>
      <c r="K536" s="271">
        <f t="shared" si="82"/>
        <v>0</v>
      </c>
      <c r="L536" s="74"/>
      <c r="M536" s="74"/>
    </row>
    <row r="537" spans="1:13" s="269" customFormat="1" ht="60" hidden="1">
      <c r="A537" s="115" t="s">
        <v>311</v>
      </c>
      <c r="B537" s="270" t="s">
        <v>23</v>
      </c>
      <c r="C537" s="100" t="s">
        <v>108</v>
      </c>
      <c r="D537" s="99" t="s">
        <v>425</v>
      </c>
      <c r="E537" s="99" t="s">
        <v>329</v>
      </c>
      <c r="F537" s="99" t="s">
        <v>147</v>
      </c>
      <c r="G537" s="99" t="s">
        <v>312</v>
      </c>
      <c r="H537" s="99"/>
      <c r="I537" s="74"/>
      <c r="J537" s="74">
        <f>J538</f>
        <v>0</v>
      </c>
      <c r="K537" s="271">
        <f t="shared" si="82"/>
        <v>0</v>
      </c>
      <c r="L537" s="74">
        <f>L538</f>
        <v>0</v>
      </c>
      <c r="M537" s="74">
        <f>M538</f>
        <v>0</v>
      </c>
    </row>
    <row r="538" spans="1:13" s="268" customFormat="1" ht="15" hidden="1">
      <c r="A538" s="115" t="s">
        <v>684</v>
      </c>
      <c r="B538" s="270" t="s">
        <v>23</v>
      </c>
      <c r="C538" s="100" t="s">
        <v>108</v>
      </c>
      <c r="D538" s="99" t="s">
        <v>425</v>
      </c>
      <c r="E538" s="99" t="s">
        <v>329</v>
      </c>
      <c r="F538" s="99" t="s">
        <v>147</v>
      </c>
      <c r="G538" s="99" t="s">
        <v>312</v>
      </c>
      <c r="H538" s="99" t="s">
        <v>685</v>
      </c>
      <c r="I538" s="74"/>
      <c r="J538" s="120"/>
      <c r="K538" s="271">
        <f t="shared" si="82"/>
        <v>0</v>
      </c>
      <c r="L538" s="74"/>
      <c r="M538" s="74"/>
    </row>
    <row r="539" spans="1:13" s="268" customFormat="1" ht="14.25">
      <c r="A539" s="127" t="s">
        <v>109</v>
      </c>
      <c r="B539" s="266" t="s">
        <v>23</v>
      </c>
      <c r="C539" s="95" t="s">
        <v>110</v>
      </c>
      <c r="D539" s="67"/>
      <c r="E539" s="67"/>
      <c r="F539" s="67"/>
      <c r="G539" s="67"/>
      <c r="H539" s="67"/>
      <c r="I539" s="36">
        <f>I540+I546</f>
        <v>82743.3</v>
      </c>
      <c r="J539" s="36">
        <f>J540+J546</f>
        <v>82743.3</v>
      </c>
      <c r="K539" s="267">
        <f t="shared" si="82"/>
        <v>0</v>
      </c>
      <c r="L539" s="36">
        <f>L540+L546</f>
        <v>82177.5</v>
      </c>
      <c r="M539" s="36">
        <f>M540+M546</f>
        <v>82231.20000000001</v>
      </c>
    </row>
    <row r="540" spans="1:13" s="268" customFormat="1" ht="42.75">
      <c r="A540" s="127" t="s">
        <v>159</v>
      </c>
      <c r="B540" s="266" t="s">
        <v>23</v>
      </c>
      <c r="C540" s="95" t="s">
        <v>110</v>
      </c>
      <c r="D540" s="67" t="s">
        <v>160</v>
      </c>
      <c r="E540" s="67" t="s">
        <v>148</v>
      </c>
      <c r="F540" s="67" t="s">
        <v>149</v>
      </c>
      <c r="G540" s="67" t="s">
        <v>150</v>
      </c>
      <c r="H540" s="67"/>
      <c r="I540" s="36">
        <f>I541</f>
        <v>29124.2</v>
      </c>
      <c r="J540" s="36">
        <f>J541</f>
        <v>29124.2</v>
      </c>
      <c r="K540" s="267">
        <f t="shared" si="82"/>
        <v>0</v>
      </c>
      <c r="L540" s="36">
        <f>L541</f>
        <v>28487.9</v>
      </c>
      <c r="M540" s="36">
        <f>M541</f>
        <v>28487.9</v>
      </c>
    </row>
    <row r="541" spans="1:13" s="268" customFormat="1" ht="14.25">
      <c r="A541" s="124" t="s">
        <v>755</v>
      </c>
      <c r="B541" s="266" t="s">
        <v>23</v>
      </c>
      <c r="C541" s="95" t="s">
        <v>110</v>
      </c>
      <c r="D541" s="67" t="s">
        <v>160</v>
      </c>
      <c r="E541" s="67" t="s">
        <v>148</v>
      </c>
      <c r="F541" s="67" t="s">
        <v>160</v>
      </c>
      <c r="G541" s="67" t="s">
        <v>150</v>
      </c>
      <c r="H541" s="67"/>
      <c r="I541" s="36">
        <f>I542+I544</f>
        <v>29124.2</v>
      </c>
      <c r="J541" s="36">
        <f>J542+J544</f>
        <v>29124.2</v>
      </c>
      <c r="K541" s="267">
        <f t="shared" si="82"/>
        <v>0</v>
      </c>
      <c r="L541" s="36">
        <f>L542+L544</f>
        <v>28487.9</v>
      </c>
      <c r="M541" s="36">
        <f>M542+M544</f>
        <v>28487.9</v>
      </c>
    </row>
    <row r="542" spans="1:13" s="268" customFormat="1" ht="45">
      <c r="A542" s="115" t="s">
        <v>171</v>
      </c>
      <c r="B542" s="270" t="s">
        <v>23</v>
      </c>
      <c r="C542" s="100" t="s">
        <v>110</v>
      </c>
      <c r="D542" s="99" t="s">
        <v>160</v>
      </c>
      <c r="E542" s="99" t="s">
        <v>148</v>
      </c>
      <c r="F542" s="99" t="s">
        <v>160</v>
      </c>
      <c r="G542" s="99" t="s">
        <v>172</v>
      </c>
      <c r="H542" s="99"/>
      <c r="I542" s="74">
        <f>I543</f>
        <v>1298.5</v>
      </c>
      <c r="J542" s="74">
        <f>J543</f>
        <v>1298.5</v>
      </c>
      <c r="K542" s="271">
        <f t="shared" si="82"/>
        <v>0</v>
      </c>
      <c r="L542" s="74">
        <f>L543</f>
        <v>0</v>
      </c>
      <c r="M542" s="74">
        <f>M543</f>
        <v>0</v>
      </c>
    </row>
    <row r="543" spans="1:13" s="268" customFormat="1" ht="32.25" customHeight="1">
      <c r="A543" s="109" t="s">
        <v>694</v>
      </c>
      <c r="B543" s="270" t="s">
        <v>23</v>
      </c>
      <c r="C543" s="100" t="s">
        <v>110</v>
      </c>
      <c r="D543" s="99" t="s">
        <v>160</v>
      </c>
      <c r="E543" s="99" t="s">
        <v>148</v>
      </c>
      <c r="F543" s="99" t="s">
        <v>160</v>
      </c>
      <c r="G543" s="99" t="s">
        <v>172</v>
      </c>
      <c r="H543" s="99" t="s">
        <v>693</v>
      </c>
      <c r="I543" s="74">
        <f>762.6+535.9</f>
        <v>1298.5</v>
      </c>
      <c r="J543" s="74">
        <f>762.6+535.9</f>
        <v>1298.5</v>
      </c>
      <c r="K543" s="271">
        <f t="shared" si="82"/>
        <v>0</v>
      </c>
      <c r="L543" s="74">
        <f>762.6-762.6</f>
        <v>0</v>
      </c>
      <c r="M543" s="74"/>
    </row>
    <row r="544" spans="1:13" s="268" customFormat="1" ht="45">
      <c r="A544" s="115" t="s">
        <v>171</v>
      </c>
      <c r="B544" s="270" t="s">
        <v>23</v>
      </c>
      <c r="C544" s="100" t="s">
        <v>110</v>
      </c>
      <c r="D544" s="99" t="s">
        <v>160</v>
      </c>
      <c r="E544" s="99" t="s">
        <v>148</v>
      </c>
      <c r="F544" s="99" t="s">
        <v>160</v>
      </c>
      <c r="G544" s="99" t="s">
        <v>732</v>
      </c>
      <c r="H544" s="99"/>
      <c r="I544" s="74">
        <f>I545</f>
        <v>27825.7</v>
      </c>
      <c r="J544" s="74">
        <f>J545</f>
        <v>27825.7</v>
      </c>
      <c r="K544" s="271">
        <f t="shared" si="82"/>
        <v>0</v>
      </c>
      <c r="L544" s="74">
        <f>L545</f>
        <v>28487.9</v>
      </c>
      <c r="M544" s="74">
        <f>M545</f>
        <v>28487.9</v>
      </c>
    </row>
    <row r="545" spans="1:13" s="268" customFormat="1" ht="31.5" customHeight="1">
      <c r="A545" s="109" t="s">
        <v>694</v>
      </c>
      <c r="B545" s="270" t="s">
        <v>23</v>
      </c>
      <c r="C545" s="100" t="s">
        <v>110</v>
      </c>
      <c r="D545" s="99" t="s">
        <v>160</v>
      </c>
      <c r="E545" s="99" t="s">
        <v>148</v>
      </c>
      <c r="F545" s="99" t="s">
        <v>160</v>
      </c>
      <c r="G545" s="99" t="s">
        <v>732</v>
      </c>
      <c r="H545" s="99" t="s">
        <v>693</v>
      </c>
      <c r="I545" s="74">
        <f>28487.9-662.2</f>
        <v>27825.7</v>
      </c>
      <c r="J545" s="74">
        <f>28487.9-662.2</f>
        <v>27825.7</v>
      </c>
      <c r="K545" s="271">
        <f t="shared" si="82"/>
        <v>0</v>
      </c>
      <c r="L545" s="74">
        <v>28487.9</v>
      </c>
      <c r="M545" s="74">
        <v>28487.9</v>
      </c>
    </row>
    <row r="546" spans="1:13" s="269" customFormat="1" ht="36" customHeight="1">
      <c r="A546" s="110" t="s">
        <v>222</v>
      </c>
      <c r="B546" s="266">
        <v>110</v>
      </c>
      <c r="C546" s="95" t="s">
        <v>110</v>
      </c>
      <c r="D546" s="67" t="s">
        <v>223</v>
      </c>
      <c r="E546" s="67" t="s">
        <v>148</v>
      </c>
      <c r="F546" s="67" t="s">
        <v>149</v>
      </c>
      <c r="G546" s="67" t="s">
        <v>150</v>
      </c>
      <c r="H546" s="67"/>
      <c r="I546" s="36">
        <f aca="true" t="shared" si="83" ref="I546:M547">I547</f>
        <v>53619.100000000006</v>
      </c>
      <c r="J546" s="36">
        <f t="shared" si="83"/>
        <v>53619.100000000006</v>
      </c>
      <c r="K546" s="267">
        <f aca="true" t="shared" si="84" ref="K546:K553">J546-I546</f>
        <v>0</v>
      </c>
      <c r="L546" s="36">
        <f t="shared" si="83"/>
        <v>53689.600000000006</v>
      </c>
      <c r="M546" s="36">
        <f t="shared" si="83"/>
        <v>53743.3</v>
      </c>
    </row>
    <row r="547" spans="1:13" ht="28.5">
      <c r="A547" s="124" t="s">
        <v>715</v>
      </c>
      <c r="B547" s="266">
        <v>110</v>
      </c>
      <c r="C547" s="95" t="s">
        <v>110</v>
      </c>
      <c r="D547" s="67" t="s">
        <v>223</v>
      </c>
      <c r="E547" s="67" t="s">
        <v>280</v>
      </c>
      <c r="F547" s="67" t="s">
        <v>149</v>
      </c>
      <c r="G547" s="67" t="s">
        <v>150</v>
      </c>
      <c r="H547" s="67"/>
      <c r="I547" s="36">
        <f t="shared" si="83"/>
        <v>53619.100000000006</v>
      </c>
      <c r="J547" s="36">
        <f t="shared" si="83"/>
        <v>53619.100000000006</v>
      </c>
      <c r="K547" s="267">
        <f t="shared" si="84"/>
        <v>0</v>
      </c>
      <c r="L547" s="36">
        <f t="shared" si="83"/>
        <v>53689.600000000006</v>
      </c>
      <c r="M547" s="36">
        <f t="shared" si="83"/>
        <v>53743.3</v>
      </c>
    </row>
    <row r="548" spans="1:13" s="276" customFormat="1" ht="28.5">
      <c r="A548" s="125" t="s">
        <v>716</v>
      </c>
      <c r="B548" s="266">
        <v>110</v>
      </c>
      <c r="C548" s="95" t="s">
        <v>110</v>
      </c>
      <c r="D548" s="67" t="s">
        <v>223</v>
      </c>
      <c r="E548" s="67" t="s">
        <v>280</v>
      </c>
      <c r="F548" s="67" t="s">
        <v>147</v>
      </c>
      <c r="G548" s="67" t="s">
        <v>150</v>
      </c>
      <c r="H548" s="67"/>
      <c r="I548" s="36">
        <f>I549+I551+I553</f>
        <v>53619.100000000006</v>
      </c>
      <c r="J548" s="36">
        <f>J549+J551+J553</f>
        <v>53619.100000000006</v>
      </c>
      <c r="K548" s="267">
        <f t="shared" si="84"/>
        <v>0</v>
      </c>
      <c r="L548" s="36">
        <f>L549+L551+L553</f>
        <v>53689.600000000006</v>
      </c>
      <c r="M548" s="36">
        <f>M549+M551+M553</f>
        <v>53743.3</v>
      </c>
    </row>
    <row r="549" spans="1:13" s="276" customFormat="1" ht="30">
      <c r="A549" s="111" t="s">
        <v>315</v>
      </c>
      <c r="B549" s="270" t="s">
        <v>23</v>
      </c>
      <c r="C549" s="100" t="s">
        <v>110</v>
      </c>
      <c r="D549" s="99" t="s">
        <v>223</v>
      </c>
      <c r="E549" s="99" t="s">
        <v>280</v>
      </c>
      <c r="F549" s="99" t="s">
        <v>147</v>
      </c>
      <c r="G549" s="99" t="s">
        <v>316</v>
      </c>
      <c r="H549" s="99"/>
      <c r="I549" s="74">
        <f>I550</f>
        <v>674.9</v>
      </c>
      <c r="J549" s="74">
        <f>J550</f>
        <v>674.9</v>
      </c>
      <c r="K549" s="271">
        <f t="shared" si="84"/>
        <v>0</v>
      </c>
      <c r="L549" s="74">
        <f>L550</f>
        <v>745.4000000000001</v>
      </c>
      <c r="M549" s="74">
        <f>M550</f>
        <v>799.1</v>
      </c>
    </row>
    <row r="550" spans="1:13" ht="15">
      <c r="A550" s="111" t="s">
        <v>687</v>
      </c>
      <c r="B550" s="270" t="s">
        <v>23</v>
      </c>
      <c r="C550" s="100" t="s">
        <v>110</v>
      </c>
      <c r="D550" s="99" t="s">
        <v>223</v>
      </c>
      <c r="E550" s="99" t="s">
        <v>280</v>
      </c>
      <c r="F550" s="99" t="s">
        <v>147</v>
      </c>
      <c r="G550" s="99" t="s">
        <v>316</v>
      </c>
      <c r="H550" s="99" t="s">
        <v>686</v>
      </c>
      <c r="I550" s="74">
        <f>772.5-97.6</f>
        <v>674.9</v>
      </c>
      <c r="J550" s="74">
        <f>772.5-97.6</f>
        <v>674.9</v>
      </c>
      <c r="K550" s="271">
        <f t="shared" si="84"/>
        <v>0</v>
      </c>
      <c r="L550" s="74">
        <f>813.7-68.3</f>
        <v>745.4000000000001</v>
      </c>
      <c r="M550" s="74">
        <v>799.1</v>
      </c>
    </row>
    <row r="551" spans="1:13" s="269" customFormat="1" ht="30">
      <c r="A551" s="111" t="s">
        <v>303</v>
      </c>
      <c r="B551" s="270" t="s">
        <v>23</v>
      </c>
      <c r="C551" s="100" t="s">
        <v>110</v>
      </c>
      <c r="D551" s="99" t="s">
        <v>223</v>
      </c>
      <c r="E551" s="99" t="s">
        <v>280</v>
      </c>
      <c r="F551" s="99" t="s">
        <v>147</v>
      </c>
      <c r="G551" s="99" t="s">
        <v>477</v>
      </c>
      <c r="H551" s="99"/>
      <c r="I551" s="74">
        <f>I552</f>
        <v>17670.8</v>
      </c>
      <c r="J551" s="74">
        <f>J552</f>
        <v>17670.8</v>
      </c>
      <c r="K551" s="271">
        <f t="shared" si="84"/>
        <v>0</v>
      </c>
      <c r="L551" s="74">
        <f>L552</f>
        <v>17670.8</v>
      </c>
      <c r="M551" s="74">
        <f>M552</f>
        <v>17670.8</v>
      </c>
    </row>
    <row r="552" spans="1:13" s="268" customFormat="1" ht="15">
      <c r="A552" s="111" t="s">
        <v>687</v>
      </c>
      <c r="B552" s="270" t="s">
        <v>23</v>
      </c>
      <c r="C552" s="100" t="s">
        <v>110</v>
      </c>
      <c r="D552" s="99" t="s">
        <v>223</v>
      </c>
      <c r="E552" s="99" t="s">
        <v>280</v>
      </c>
      <c r="F552" s="99" t="s">
        <v>147</v>
      </c>
      <c r="G552" s="99" t="s">
        <v>477</v>
      </c>
      <c r="H552" s="99" t="s">
        <v>686</v>
      </c>
      <c r="I552" s="74">
        <f>17378.1+292.7</f>
        <v>17670.8</v>
      </c>
      <c r="J552" s="74">
        <f>17378.1+292.7</f>
        <v>17670.8</v>
      </c>
      <c r="K552" s="271">
        <f t="shared" si="84"/>
        <v>0</v>
      </c>
      <c r="L552" s="74">
        <v>17670.8</v>
      </c>
      <c r="M552" s="74">
        <v>17670.8</v>
      </c>
    </row>
    <row r="553" spans="1:13" s="268" customFormat="1" ht="45">
      <c r="A553" s="111" t="s">
        <v>317</v>
      </c>
      <c r="B553" s="270" t="s">
        <v>23</v>
      </c>
      <c r="C553" s="100" t="s">
        <v>110</v>
      </c>
      <c r="D553" s="99" t="s">
        <v>223</v>
      </c>
      <c r="E553" s="99" t="s">
        <v>280</v>
      </c>
      <c r="F553" s="99" t="s">
        <v>147</v>
      </c>
      <c r="G553" s="99" t="s">
        <v>318</v>
      </c>
      <c r="H553" s="99"/>
      <c r="I553" s="74">
        <f>I554</f>
        <v>35273.4</v>
      </c>
      <c r="J553" s="74">
        <f>J554</f>
        <v>35273.4</v>
      </c>
      <c r="K553" s="271">
        <f t="shared" si="84"/>
        <v>0</v>
      </c>
      <c r="L553" s="74">
        <f>L554</f>
        <v>35273.4</v>
      </c>
      <c r="M553" s="74">
        <f>M554</f>
        <v>35273.4</v>
      </c>
    </row>
    <row r="554" spans="1:13" s="268" customFormat="1" ht="15">
      <c r="A554" s="111" t="s">
        <v>687</v>
      </c>
      <c r="B554" s="270" t="s">
        <v>23</v>
      </c>
      <c r="C554" s="100" t="s">
        <v>110</v>
      </c>
      <c r="D554" s="99" t="s">
        <v>223</v>
      </c>
      <c r="E554" s="99" t="s">
        <v>280</v>
      </c>
      <c r="F554" s="99" t="s">
        <v>147</v>
      </c>
      <c r="G554" s="99" t="s">
        <v>318</v>
      </c>
      <c r="H554" s="99" t="s">
        <v>686</v>
      </c>
      <c r="I554" s="74">
        <v>35273.4</v>
      </c>
      <c r="J554" s="74">
        <v>35273.4</v>
      </c>
      <c r="K554" s="271">
        <f aca="true" t="shared" si="85" ref="K554:K559">J554-I554</f>
        <v>0</v>
      </c>
      <c r="L554" s="74">
        <v>35273.4</v>
      </c>
      <c r="M554" s="74">
        <v>35273.4</v>
      </c>
    </row>
    <row r="555" spans="1:13" s="269" customFormat="1" ht="15">
      <c r="A555" s="127" t="s">
        <v>113</v>
      </c>
      <c r="B555" s="266" t="s">
        <v>23</v>
      </c>
      <c r="C555" s="95" t="s">
        <v>114</v>
      </c>
      <c r="D555" s="67"/>
      <c r="E555" s="67"/>
      <c r="F555" s="67"/>
      <c r="G555" s="67"/>
      <c r="H555" s="67"/>
      <c r="I555" s="36">
        <f>I556+I569</f>
        <v>33747.299999999996</v>
      </c>
      <c r="J555" s="36">
        <f>J556+J569</f>
        <v>33747.299999999996</v>
      </c>
      <c r="K555" s="267">
        <f t="shared" si="85"/>
        <v>0</v>
      </c>
      <c r="L555" s="36">
        <f>L556+L569</f>
        <v>167030.4</v>
      </c>
      <c r="M555" s="36">
        <f>M556+M569</f>
        <v>154570.3</v>
      </c>
    </row>
    <row r="556" spans="1:13" s="269" customFormat="1" ht="15">
      <c r="A556" s="127" t="s">
        <v>115</v>
      </c>
      <c r="B556" s="266" t="s">
        <v>23</v>
      </c>
      <c r="C556" s="95" t="s">
        <v>116</v>
      </c>
      <c r="D556" s="67"/>
      <c r="E556" s="67"/>
      <c r="F556" s="67"/>
      <c r="G556" s="67"/>
      <c r="H556" s="67"/>
      <c r="I556" s="36">
        <f>I557</f>
        <v>4311.4</v>
      </c>
      <c r="J556" s="36">
        <f>J557</f>
        <v>4311.4</v>
      </c>
      <c r="K556" s="267">
        <f t="shared" si="85"/>
        <v>0</v>
      </c>
      <c r="L556" s="36">
        <f>L557</f>
        <v>4031.3999999999996</v>
      </c>
      <c r="M556" s="36">
        <f>M557</f>
        <v>4131.4</v>
      </c>
    </row>
    <row r="557" spans="1:13" s="268" customFormat="1" ht="42.75">
      <c r="A557" s="127" t="s">
        <v>205</v>
      </c>
      <c r="B557" s="266" t="s">
        <v>23</v>
      </c>
      <c r="C557" s="95" t="s">
        <v>116</v>
      </c>
      <c r="D557" s="67" t="s">
        <v>206</v>
      </c>
      <c r="E557" s="67" t="s">
        <v>148</v>
      </c>
      <c r="F557" s="67" t="s">
        <v>149</v>
      </c>
      <c r="G557" s="67" t="s">
        <v>150</v>
      </c>
      <c r="H557" s="67"/>
      <c r="I557" s="36">
        <f>I558</f>
        <v>4311.4</v>
      </c>
      <c r="J557" s="36">
        <f>J558</f>
        <v>4311.4</v>
      </c>
      <c r="K557" s="267">
        <f t="shared" si="85"/>
        <v>0</v>
      </c>
      <c r="L557" s="36">
        <f>L558</f>
        <v>4031.3999999999996</v>
      </c>
      <c r="M557" s="36">
        <f>M558</f>
        <v>4131.4</v>
      </c>
    </row>
    <row r="558" spans="1:13" s="268" customFormat="1" ht="28.5">
      <c r="A558" s="124" t="s">
        <v>207</v>
      </c>
      <c r="B558" s="266" t="s">
        <v>23</v>
      </c>
      <c r="C558" s="95" t="s">
        <v>116</v>
      </c>
      <c r="D558" s="67" t="s">
        <v>206</v>
      </c>
      <c r="E558" s="67" t="s">
        <v>131</v>
      </c>
      <c r="F558" s="67" t="s">
        <v>149</v>
      </c>
      <c r="G558" s="67" t="s">
        <v>150</v>
      </c>
      <c r="H558" s="67"/>
      <c r="I558" s="36">
        <f>I559+I562</f>
        <v>4311.4</v>
      </c>
      <c r="J558" s="36">
        <f>J559+J562</f>
        <v>4311.4</v>
      </c>
      <c r="K558" s="267">
        <f t="shared" si="85"/>
        <v>0</v>
      </c>
      <c r="L558" s="36">
        <f>L559+L562</f>
        <v>4031.3999999999996</v>
      </c>
      <c r="M558" s="36">
        <f>M559+M562</f>
        <v>4131.4</v>
      </c>
    </row>
    <row r="559" spans="1:13" s="268" customFormat="1" ht="28.5">
      <c r="A559" s="124" t="s">
        <v>758</v>
      </c>
      <c r="B559" s="266" t="s">
        <v>23</v>
      </c>
      <c r="C559" s="95" t="s">
        <v>116</v>
      </c>
      <c r="D559" s="67" t="s">
        <v>206</v>
      </c>
      <c r="E559" s="67" t="s">
        <v>131</v>
      </c>
      <c r="F559" s="67" t="s">
        <v>147</v>
      </c>
      <c r="G559" s="67" t="s">
        <v>150</v>
      </c>
      <c r="H559" s="67"/>
      <c r="I559" s="36">
        <f aca="true" t="shared" si="86" ref="I559:M560">I560</f>
        <v>371</v>
      </c>
      <c r="J559" s="36">
        <f t="shared" si="86"/>
        <v>371</v>
      </c>
      <c r="K559" s="267">
        <f t="shared" si="85"/>
        <v>0</v>
      </c>
      <c r="L559" s="36">
        <f t="shared" si="86"/>
        <v>371</v>
      </c>
      <c r="M559" s="36">
        <f t="shared" si="86"/>
        <v>371</v>
      </c>
    </row>
    <row r="560" spans="1:13" s="269" customFormat="1" ht="60">
      <c r="A560" s="111" t="s">
        <v>488</v>
      </c>
      <c r="B560" s="270" t="s">
        <v>23</v>
      </c>
      <c r="C560" s="100" t="s">
        <v>116</v>
      </c>
      <c r="D560" s="99" t="s">
        <v>206</v>
      </c>
      <c r="E560" s="99" t="s">
        <v>131</v>
      </c>
      <c r="F560" s="99" t="s">
        <v>147</v>
      </c>
      <c r="G560" s="99" t="s">
        <v>209</v>
      </c>
      <c r="H560" s="99"/>
      <c r="I560" s="74">
        <f t="shared" si="86"/>
        <v>371</v>
      </c>
      <c r="J560" s="74">
        <f t="shared" si="86"/>
        <v>371</v>
      </c>
      <c r="K560" s="271">
        <f aca="true" t="shared" si="87" ref="K560:K570">J560-I560</f>
        <v>0</v>
      </c>
      <c r="L560" s="74">
        <f t="shared" si="86"/>
        <v>371</v>
      </c>
      <c r="M560" s="74">
        <f t="shared" si="86"/>
        <v>371</v>
      </c>
    </row>
    <row r="561" spans="1:13" s="269" customFormat="1" ht="30">
      <c r="A561" s="111" t="s">
        <v>683</v>
      </c>
      <c r="B561" s="270" t="s">
        <v>23</v>
      </c>
      <c r="C561" s="100" t="s">
        <v>116</v>
      </c>
      <c r="D561" s="99" t="s">
        <v>206</v>
      </c>
      <c r="E561" s="99" t="s">
        <v>131</v>
      </c>
      <c r="F561" s="99" t="s">
        <v>147</v>
      </c>
      <c r="G561" s="99" t="s">
        <v>209</v>
      </c>
      <c r="H561" s="99" t="s">
        <v>682</v>
      </c>
      <c r="I561" s="74">
        <v>371</v>
      </c>
      <c r="J561" s="74">
        <v>371</v>
      </c>
      <c r="K561" s="271">
        <f t="shared" si="87"/>
        <v>0</v>
      </c>
      <c r="L561" s="74">
        <v>371</v>
      </c>
      <c r="M561" s="74">
        <v>371</v>
      </c>
    </row>
    <row r="562" spans="1:13" s="268" customFormat="1" ht="28.5">
      <c r="A562" s="124" t="s">
        <v>759</v>
      </c>
      <c r="B562" s="266" t="s">
        <v>23</v>
      </c>
      <c r="C562" s="95" t="s">
        <v>116</v>
      </c>
      <c r="D562" s="67" t="s">
        <v>206</v>
      </c>
      <c r="E562" s="67" t="s">
        <v>131</v>
      </c>
      <c r="F562" s="67" t="s">
        <v>160</v>
      </c>
      <c r="G562" s="67" t="s">
        <v>150</v>
      </c>
      <c r="H562" s="67"/>
      <c r="I562" s="36">
        <f>I563+I565+I567</f>
        <v>3940.3999999999996</v>
      </c>
      <c r="J562" s="36">
        <f>J563+J565+J567</f>
        <v>3940.3999999999996</v>
      </c>
      <c r="K562" s="267">
        <f t="shared" si="87"/>
        <v>0</v>
      </c>
      <c r="L562" s="36">
        <f>L563+L565+L567</f>
        <v>3660.3999999999996</v>
      </c>
      <c r="M562" s="36">
        <f>M563+M565+M567</f>
        <v>3760.3999999999996</v>
      </c>
    </row>
    <row r="563" spans="1:13" ht="45">
      <c r="A563" s="115" t="s">
        <v>210</v>
      </c>
      <c r="B563" s="270" t="s">
        <v>23</v>
      </c>
      <c r="C563" s="100" t="s">
        <v>116</v>
      </c>
      <c r="D563" s="99" t="s">
        <v>206</v>
      </c>
      <c r="E563" s="99" t="s">
        <v>131</v>
      </c>
      <c r="F563" s="99" t="s">
        <v>160</v>
      </c>
      <c r="G563" s="99" t="s">
        <v>211</v>
      </c>
      <c r="H563" s="99"/>
      <c r="I563" s="74">
        <f>I564</f>
        <v>1484.6</v>
      </c>
      <c r="J563" s="74">
        <f>J564</f>
        <v>1484.6</v>
      </c>
      <c r="K563" s="271">
        <f t="shared" si="87"/>
        <v>0</v>
      </c>
      <c r="L563" s="74">
        <f>L564</f>
        <v>1384.6</v>
      </c>
      <c r="M563" s="74">
        <f>M564</f>
        <v>1484.6</v>
      </c>
    </row>
    <row r="564" spans="1:13" s="276" customFormat="1" ht="30">
      <c r="A564" s="111" t="s">
        <v>683</v>
      </c>
      <c r="B564" s="270" t="s">
        <v>23</v>
      </c>
      <c r="C564" s="100" t="s">
        <v>116</v>
      </c>
      <c r="D564" s="99" t="s">
        <v>206</v>
      </c>
      <c r="E564" s="99" t="s">
        <v>131</v>
      </c>
      <c r="F564" s="99" t="s">
        <v>160</v>
      </c>
      <c r="G564" s="99" t="s">
        <v>211</v>
      </c>
      <c r="H564" s="99" t="s">
        <v>682</v>
      </c>
      <c r="I564" s="74">
        <f>1184.6+300</f>
        <v>1484.6</v>
      </c>
      <c r="J564" s="74">
        <f>1184.6+300</f>
        <v>1484.6</v>
      </c>
      <c r="K564" s="271">
        <f t="shared" si="87"/>
        <v>0</v>
      </c>
      <c r="L564" s="74">
        <v>1384.6</v>
      </c>
      <c r="M564" s="74">
        <v>1484.6</v>
      </c>
    </row>
    <row r="565" spans="1:13" s="276" customFormat="1" ht="30">
      <c r="A565" s="111" t="s">
        <v>212</v>
      </c>
      <c r="B565" s="270" t="s">
        <v>23</v>
      </c>
      <c r="C565" s="100" t="s">
        <v>116</v>
      </c>
      <c r="D565" s="99" t="s">
        <v>206</v>
      </c>
      <c r="E565" s="99" t="s">
        <v>131</v>
      </c>
      <c r="F565" s="99" t="s">
        <v>160</v>
      </c>
      <c r="G565" s="99" t="s">
        <v>213</v>
      </c>
      <c r="H565" s="99"/>
      <c r="I565" s="74">
        <f>I566</f>
        <v>137.8</v>
      </c>
      <c r="J565" s="74">
        <f>J566</f>
        <v>137.8</v>
      </c>
      <c r="K565" s="271">
        <f t="shared" si="87"/>
        <v>0</v>
      </c>
      <c r="L565" s="74">
        <f>L566</f>
        <v>137.8</v>
      </c>
      <c r="M565" s="74">
        <f>M566</f>
        <v>137.8</v>
      </c>
    </row>
    <row r="566" spans="1:13" s="276" customFormat="1" ht="30">
      <c r="A566" s="111" t="s">
        <v>683</v>
      </c>
      <c r="B566" s="270" t="s">
        <v>23</v>
      </c>
      <c r="C566" s="100" t="s">
        <v>116</v>
      </c>
      <c r="D566" s="99" t="s">
        <v>206</v>
      </c>
      <c r="E566" s="99" t="s">
        <v>131</v>
      </c>
      <c r="F566" s="99" t="s">
        <v>160</v>
      </c>
      <c r="G566" s="99" t="s">
        <v>213</v>
      </c>
      <c r="H566" s="99" t="s">
        <v>682</v>
      </c>
      <c r="I566" s="74">
        <v>137.8</v>
      </c>
      <c r="J566" s="74">
        <v>137.8</v>
      </c>
      <c r="K566" s="271">
        <f t="shared" si="87"/>
        <v>0</v>
      </c>
      <c r="L566" s="74">
        <v>137.8</v>
      </c>
      <c r="M566" s="74">
        <v>137.8</v>
      </c>
    </row>
    <row r="567" spans="1:13" s="276" customFormat="1" ht="30">
      <c r="A567" s="115" t="s">
        <v>214</v>
      </c>
      <c r="B567" s="270" t="s">
        <v>23</v>
      </c>
      <c r="C567" s="100" t="s">
        <v>116</v>
      </c>
      <c r="D567" s="99" t="s">
        <v>206</v>
      </c>
      <c r="E567" s="99" t="s">
        <v>131</v>
      </c>
      <c r="F567" s="99" t="s">
        <v>160</v>
      </c>
      <c r="G567" s="99" t="s">
        <v>215</v>
      </c>
      <c r="H567" s="99"/>
      <c r="I567" s="74">
        <f>I568</f>
        <v>2318</v>
      </c>
      <c r="J567" s="74">
        <f>J568</f>
        <v>2318</v>
      </c>
      <c r="K567" s="271">
        <f t="shared" si="87"/>
        <v>0</v>
      </c>
      <c r="L567" s="74">
        <f>L568</f>
        <v>2138</v>
      </c>
      <c r="M567" s="74">
        <f>M568</f>
        <v>2138</v>
      </c>
    </row>
    <row r="568" spans="1:13" s="276" customFormat="1" ht="19.5" customHeight="1">
      <c r="A568" s="112" t="s">
        <v>690</v>
      </c>
      <c r="B568" s="270" t="s">
        <v>23</v>
      </c>
      <c r="C568" s="100" t="s">
        <v>116</v>
      </c>
      <c r="D568" s="99" t="s">
        <v>206</v>
      </c>
      <c r="E568" s="99" t="s">
        <v>131</v>
      </c>
      <c r="F568" s="99" t="s">
        <v>160</v>
      </c>
      <c r="G568" s="99" t="s">
        <v>215</v>
      </c>
      <c r="H568" s="99" t="s">
        <v>691</v>
      </c>
      <c r="I568" s="74">
        <v>2318</v>
      </c>
      <c r="J568" s="74">
        <v>2318</v>
      </c>
      <c r="K568" s="271">
        <f t="shared" si="87"/>
        <v>0</v>
      </c>
      <c r="L568" s="74">
        <v>2138</v>
      </c>
      <c r="M568" s="74">
        <v>2138</v>
      </c>
    </row>
    <row r="569" spans="1:13" s="276" customFormat="1" ht="19.5" customHeight="1">
      <c r="A569" s="203" t="s">
        <v>117</v>
      </c>
      <c r="B569" s="266">
        <v>110</v>
      </c>
      <c r="C569" s="95" t="s">
        <v>118</v>
      </c>
      <c r="D569" s="67"/>
      <c r="E569" s="67"/>
      <c r="F569" s="67"/>
      <c r="G569" s="67"/>
      <c r="H569" s="67"/>
      <c r="I569" s="36">
        <f aca="true" t="shared" si="88" ref="I569:M570">I570</f>
        <v>29435.899999999998</v>
      </c>
      <c r="J569" s="36">
        <f t="shared" si="88"/>
        <v>29435.899999999998</v>
      </c>
      <c r="K569" s="267">
        <f t="shared" si="87"/>
        <v>0</v>
      </c>
      <c r="L569" s="36">
        <f t="shared" si="88"/>
        <v>162999</v>
      </c>
      <c r="M569" s="36">
        <f t="shared" si="88"/>
        <v>150438.9</v>
      </c>
    </row>
    <row r="570" spans="1:13" s="276" customFormat="1" ht="45.75" customHeight="1">
      <c r="A570" s="127" t="s">
        <v>205</v>
      </c>
      <c r="B570" s="266">
        <v>110</v>
      </c>
      <c r="C570" s="95" t="s">
        <v>118</v>
      </c>
      <c r="D570" s="67" t="s">
        <v>206</v>
      </c>
      <c r="E570" s="67" t="s">
        <v>148</v>
      </c>
      <c r="F570" s="67" t="s">
        <v>149</v>
      </c>
      <c r="G570" s="67" t="s">
        <v>150</v>
      </c>
      <c r="H570" s="67"/>
      <c r="I570" s="36">
        <f t="shared" si="88"/>
        <v>29435.899999999998</v>
      </c>
      <c r="J570" s="36">
        <f t="shared" si="88"/>
        <v>29435.899999999998</v>
      </c>
      <c r="K570" s="267">
        <f t="shared" si="87"/>
        <v>0</v>
      </c>
      <c r="L570" s="36">
        <f t="shared" si="88"/>
        <v>162999</v>
      </c>
      <c r="M570" s="36">
        <f t="shared" si="88"/>
        <v>150438.9</v>
      </c>
    </row>
    <row r="571" spans="1:13" s="268" customFormat="1" ht="28.5">
      <c r="A571" s="116" t="s">
        <v>221</v>
      </c>
      <c r="B571" s="279">
        <v>110</v>
      </c>
      <c r="C571" s="95" t="s">
        <v>118</v>
      </c>
      <c r="D571" s="95" t="s">
        <v>206</v>
      </c>
      <c r="E571" s="95" t="s">
        <v>135</v>
      </c>
      <c r="F571" s="67" t="s">
        <v>149</v>
      </c>
      <c r="G571" s="95" t="s">
        <v>150</v>
      </c>
      <c r="H571" s="137"/>
      <c r="I571" s="84">
        <f>I572</f>
        <v>29435.899999999998</v>
      </c>
      <c r="J571" s="84">
        <f>J572</f>
        <v>29435.899999999998</v>
      </c>
      <c r="K571" s="267">
        <f>J571-I571</f>
        <v>0</v>
      </c>
      <c r="L571" s="84">
        <f>L572</f>
        <v>162999</v>
      </c>
      <c r="M571" s="84">
        <f>M572</f>
        <v>150438.9</v>
      </c>
    </row>
    <row r="572" spans="1:13" s="268" customFormat="1" ht="48.75" customHeight="1">
      <c r="A572" s="116" t="s">
        <v>762</v>
      </c>
      <c r="B572" s="279">
        <v>110</v>
      </c>
      <c r="C572" s="95" t="s">
        <v>118</v>
      </c>
      <c r="D572" s="95" t="s">
        <v>206</v>
      </c>
      <c r="E572" s="95" t="s">
        <v>135</v>
      </c>
      <c r="F572" s="67" t="s">
        <v>147</v>
      </c>
      <c r="G572" s="95" t="s">
        <v>150</v>
      </c>
      <c r="H572" s="137"/>
      <c r="I572" s="84">
        <f>I573+I575</f>
        <v>29435.899999999998</v>
      </c>
      <c r="J572" s="84">
        <f>J573+J575</f>
        <v>29435.899999999998</v>
      </c>
      <c r="K572" s="267">
        <f aca="true" t="shared" si="89" ref="K572:K577">J572-I572</f>
        <v>0</v>
      </c>
      <c r="L572" s="84">
        <f>L573+L575</f>
        <v>162999</v>
      </c>
      <c r="M572" s="84">
        <f>M573+M575</f>
        <v>150438.9</v>
      </c>
    </row>
    <row r="573" spans="1:13" s="269" customFormat="1" ht="17.25" customHeight="1">
      <c r="A573" s="102" t="s">
        <v>372</v>
      </c>
      <c r="B573" s="274">
        <v>110</v>
      </c>
      <c r="C573" s="100" t="s">
        <v>118</v>
      </c>
      <c r="D573" s="100" t="s">
        <v>206</v>
      </c>
      <c r="E573" s="100" t="s">
        <v>135</v>
      </c>
      <c r="F573" s="99" t="s">
        <v>147</v>
      </c>
      <c r="G573" s="100" t="s">
        <v>373</v>
      </c>
      <c r="H573" s="131"/>
      <c r="I573" s="275">
        <f>I574</f>
        <v>172.1</v>
      </c>
      <c r="J573" s="275">
        <f>J574</f>
        <v>172.1</v>
      </c>
      <c r="K573" s="271">
        <f t="shared" si="89"/>
        <v>0</v>
      </c>
      <c r="L573" s="275">
        <f>L574</f>
        <v>0</v>
      </c>
      <c r="M573" s="275">
        <f>M574</f>
        <v>0</v>
      </c>
    </row>
    <row r="574" spans="1:13" s="269" customFormat="1" ht="29.25" customHeight="1">
      <c r="A574" s="102" t="s">
        <v>696</v>
      </c>
      <c r="B574" s="274">
        <v>110</v>
      </c>
      <c r="C574" s="100" t="s">
        <v>118</v>
      </c>
      <c r="D574" s="100" t="s">
        <v>206</v>
      </c>
      <c r="E574" s="100" t="s">
        <v>135</v>
      </c>
      <c r="F574" s="99" t="s">
        <v>147</v>
      </c>
      <c r="G574" s="100" t="s">
        <v>373</v>
      </c>
      <c r="H574" s="131">
        <v>400</v>
      </c>
      <c r="I574" s="275">
        <f>102.1+70</f>
        <v>172.1</v>
      </c>
      <c r="J574" s="275">
        <f>102.1+70</f>
        <v>172.1</v>
      </c>
      <c r="K574" s="271">
        <f t="shared" si="89"/>
        <v>0</v>
      </c>
      <c r="L574" s="74"/>
      <c r="M574" s="74"/>
    </row>
    <row r="575" spans="1:13" s="269" customFormat="1" ht="30">
      <c r="A575" s="102" t="s">
        <v>1039</v>
      </c>
      <c r="B575" s="274">
        <v>110</v>
      </c>
      <c r="C575" s="100" t="s">
        <v>118</v>
      </c>
      <c r="D575" s="100" t="s">
        <v>206</v>
      </c>
      <c r="E575" s="100" t="s">
        <v>135</v>
      </c>
      <c r="F575" s="99" t="s">
        <v>147</v>
      </c>
      <c r="G575" s="100" t="s">
        <v>1038</v>
      </c>
      <c r="H575" s="131"/>
      <c r="I575" s="275">
        <f>I576</f>
        <v>29263.8</v>
      </c>
      <c r="J575" s="275">
        <f>J576</f>
        <v>29263.8</v>
      </c>
      <c r="K575" s="271">
        <f t="shared" si="89"/>
        <v>0</v>
      </c>
      <c r="L575" s="275">
        <f>L576</f>
        <v>162999</v>
      </c>
      <c r="M575" s="275">
        <f>M576</f>
        <v>150438.9</v>
      </c>
    </row>
    <row r="576" spans="1:13" s="269" customFormat="1" ht="30">
      <c r="A576" s="102" t="s">
        <v>696</v>
      </c>
      <c r="B576" s="274">
        <v>110</v>
      </c>
      <c r="C576" s="100" t="s">
        <v>118</v>
      </c>
      <c r="D576" s="100" t="s">
        <v>206</v>
      </c>
      <c r="E576" s="100" t="s">
        <v>135</v>
      </c>
      <c r="F576" s="99" t="s">
        <v>147</v>
      </c>
      <c r="G576" s="100" t="s">
        <v>1038</v>
      </c>
      <c r="H576" s="131">
        <v>400</v>
      </c>
      <c r="I576" s="275">
        <f>13713.3-12627.3+56.9+13143.1+3.8+1197.9+13776.1</f>
        <v>29263.8</v>
      </c>
      <c r="J576" s="275">
        <f>13713.3-12627.3+56.9+13143.1+3.8+1197.9+13776.1</f>
        <v>29263.8</v>
      </c>
      <c r="K576" s="271">
        <f t="shared" si="89"/>
        <v>0</v>
      </c>
      <c r="L576" s="74">
        <f>14393.5-2005.5+651.9+149959.1</f>
        <v>162999</v>
      </c>
      <c r="M576" s="74">
        <f>12480+657.2+151077.8-13776.1</f>
        <v>150438.9</v>
      </c>
    </row>
    <row r="577" spans="1:13" s="276" customFormat="1" ht="28.5">
      <c r="A577" s="127" t="s">
        <v>129</v>
      </c>
      <c r="B577" s="266">
        <v>111</v>
      </c>
      <c r="C577" s="95"/>
      <c r="D577" s="67"/>
      <c r="E577" s="67"/>
      <c r="F577" s="67"/>
      <c r="G577" s="67"/>
      <c r="H577" s="67"/>
      <c r="I577" s="36">
        <f>I578+I634+I641+I658+I675+I684+I691</f>
        <v>278953.3</v>
      </c>
      <c r="J577" s="36">
        <f>J578+J634+J641+J658+J675+J684+J691</f>
        <v>269523.7</v>
      </c>
      <c r="K577" s="267">
        <f t="shared" si="89"/>
        <v>-9429.599999999977</v>
      </c>
      <c r="L577" s="36">
        <f>L578+L634+L641+L658+L675+L684+L691</f>
        <v>249755.90000000002</v>
      </c>
      <c r="M577" s="36">
        <f>M578+M634+M641+M658+M675+M684+M691</f>
        <v>270170.4</v>
      </c>
    </row>
    <row r="578" spans="1:13" ht="15">
      <c r="A578" s="127" t="s">
        <v>37</v>
      </c>
      <c r="B578" s="266">
        <v>111</v>
      </c>
      <c r="C578" s="95" t="s">
        <v>38</v>
      </c>
      <c r="D578" s="67"/>
      <c r="E578" s="67"/>
      <c r="F578" s="67"/>
      <c r="G578" s="67"/>
      <c r="H578" s="286"/>
      <c r="I578" s="36">
        <f>I579+I587+I615+I621</f>
        <v>47554.4</v>
      </c>
      <c r="J578" s="36">
        <f>J579+J587+J615+J621</f>
        <v>29523.4</v>
      </c>
      <c r="K578" s="267">
        <f>J578-I578</f>
        <v>-18031</v>
      </c>
      <c r="L578" s="36">
        <f>L579+L587+L615+L621</f>
        <v>26667.800000000003</v>
      </c>
      <c r="M578" s="36">
        <f>M579+M587+M615+M621</f>
        <v>41118.5</v>
      </c>
    </row>
    <row r="579" spans="1:13" ht="42.75" hidden="1">
      <c r="A579" s="127" t="s">
        <v>403</v>
      </c>
      <c r="B579" s="266">
        <v>111</v>
      </c>
      <c r="C579" s="95" t="s">
        <v>44</v>
      </c>
      <c r="D579" s="67"/>
      <c r="E579" s="67"/>
      <c r="F579" s="67"/>
      <c r="G579" s="67"/>
      <c r="H579" s="286"/>
      <c r="I579" s="36">
        <f aca="true" t="shared" si="90" ref="I579:J581">I580</f>
        <v>0</v>
      </c>
      <c r="J579" s="36">
        <f t="shared" si="90"/>
        <v>0</v>
      </c>
      <c r="K579" s="267">
        <f>J579-I579</f>
        <v>0</v>
      </c>
      <c r="L579" s="36">
        <f aca="true" t="shared" si="91" ref="L579:M581">L580</f>
        <v>0</v>
      </c>
      <c r="M579" s="36">
        <f t="shared" si="91"/>
        <v>0</v>
      </c>
    </row>
    <row r="580" spans="1:13" ht="15" hidden="1">
      <c r="A580" s="127" t="s">
        <v>424</v>
      </c>
      <c r="B580" s="266">
        <v>111</v>
      </c>
      <c r="C580" s="95" t="s">
        <v>44</v>
      </c>
      <c r="D580" s="67" t="s">
        <v>425</v>
      </c>
      <c r="E580" s="67" t="s">
        <v>148</v>
      </c>
      <c r="F580" s="67" t="s">
        <v>149</v>
      </c>
      <c r="G580" s="67" t="s">
        <v>150</v>
      </c>
      <c r="H580" s="286"/>
      <c r="I580" s="36">
        <f t="shared" si="90"/>
        <v>0</v>
      </c>
      <c r="J580" s="36">
        <f t="shared" si="90"/>
        <v>0</v>
      </c>
      <c r="K580" s="267">
        <f>J580-I580</f>
        <v>0</v>
      </c>
      <c r="L580" s="36">
        <f t="shared" si="91"/>
        <v>0</v>
      </c>
      <c r="M580" s="36">
        <f t="shared" si="91"/>
        <v>0</v>
      </c>
    </row>
    <row r="581" spans="1:13" s="276" customFormat="1" ht="14.25" hidden="1">
      <c r="A581" s="124" t="s">
        <v>399</v>
      </c>
      <c r="B581" s="266">
        <v>111</v>
      </c>
      <c r="C581" s="95" t="s">
        <v>44</v>
      </c>
      <c r="D581" s="67" t="s">
        <v>425</v>
      </c>
      <c r="E581" s="67" t="s">
        <v>329</v>
      </c>
      <c r="F581" s="67" t="s">
        <v>149</v>
      </c>
      <c r="G581" s="67" t="s">
        <v>150</v>
      </c>
      <c r="H581" s="286"/>
      <c r="I581" s="36">
        <f t="shared" si="90"/>
        <v>0</v>
      </c>
      <c r="J581" s="36">
        <f t="shared" si="90"/>
        <v>0</v>
      </c>
      <c r="K581" s="267">
        <f>J581-I581</f>
        <v>0</v>
      </c>
      <c r="L581" s="36">
        <f t="shared" si="91"/>
        <v>0</v>
      </c>
      <c r="M581" s="36">
        <f t="shared" si="91"/>
        <v>0</v>
      </c>
    </row>
    <row r="582" spans="1:13" s="276" customFormat="1" ht="14.25" hidden="1">
      <c r="A582" s="125" t="s">
        <v>399</v>
      </c>
      <c r="B582" s="266">
        <v>111</v>
      </c>
      <c r="C582" s="95" t="s">
        <v>44</v>
      </c>
      <c r="D582" s="67" t="s">
        <v>425</v>
      </c>
      <c r="E582" s="67" t="s">
        <v>329</v>
      </c>
      <c r="F582" s="67" t="s">
        <v>147</v>
      </c>
      <c r="G582" s="67" t="s">
        <v>150</v>
      </c>
      <c r="H582" s="286"/>
      <c r="I582" s="36">
        <f>I585+I583</f>
        <v>0</v>
      </c>
      <c r="J582" s="36">
        <f>J585+J583</f>
        <v>0</v>
      </c>
      <c r="K582" s="267">
        <f>K585+K583</f>
        <v>0</v>
      </c>
      <c r="L582" s="36">
        <f>L585+L583</f>
        <v>0</v>
      </c>
      <c r="M582" s="36">
        <f>M585+M583</f>
        <v>0</v>
      </c>
    </row>
    <row r="583" spans="1:13" s="276" customFormat="1" ht="45" hidden="1">
      <c r="A583" s="111" t="s">
        <v>995</v>
      </c>
      <c r="B583" s="270">
        <v>111</v>
      </c>
      <c r="C583" s="100" t="s">
        <v>44</v>
      </c>
      <c r="D583" s="99" t="s">
        <v>425</v>
      </c>
      <c r="E583" s="99" t="s">
        <v>329</v>
      </c>
      <c r="F583" s="99" t="s">
        <v>147</v>
      </c>
      <c r="G583" s="99" t="s">
        <v>987</v>
      </c>
      <c r="H583" s="287"/>
      <c r="I583" s="74">
        <f>I584</f>
        <v>0</v>
      </c>
      <c r="J583" s="74">
        <f>J584</f>
        <v>0</v>
      </c>
      <c r="K583" s="271">
        <f aca="true" t="shared" si="92" ref="K583:K592">J583-I583</f>
        <v>0</v>
      </c>
      <c r="L583" s="74">
        <f>L584</f>
        <v>0</v>
      </c>
      <c r="M583" s="74">
        <f>M584</f>
        <v>0</v>
      </c>
    </row>
    <row r="584" spans="1:13" s="276" customFormat="1" ht="15" hidden="1">
      <c r="A584" s="112" t="s">
        <v>690</v>
      </c>
      <c r="B584" s="270">
        <v>111</v>
      </c>
      <c r="C584" s="100" t="s">
        <v>44</v>
      </c>
      <c r="D584" s="99" t="s">
        <v>425</v>
      </c>
      <c r="E584" s="99" t="s">
        <v>329</v>
      </c>
      <c r="F584" s="99" t="s">
        <v>147</v>
      </c>
      <c r="G584" s="99" t="s">
        <v>987</v>
      </c>
      <c r="H584" s="99" t="s">
        <v>691</v>
      </c>
      <c r="I584" s="74"/>
      <c r="J584" s="74"/>
      <c r="K584" s="271">
        <f t="shared" si="92"/>
        <v>0</v>
      </c>
      <c r="L584" s="74"/>
      <c r="M584" s="74"/>
    </row>
    <row r="585" spans="1:13" s="276" customFormat="1" ht="30" hidden="1">
      <c r="A585" s="109" t="s">
        <v>464</v>
      </c>
      <c r="B585" s="270">
        <v>111</v>
      </c>
      <c r="C585" s="100" t="s">
        <v>44</v>
      </c>
      <c r="D585" s="99" t="s">
        <v>425</v>
      </c>
      <c r="E585" s="99" t="s">
        <v>329</v>
      </c>
      <c r="F585" s="99" t="s">
        <v>147</v>
      </c>
      <c r="G585" s="99" t="s">
        <v>465</v>
      </c>
      <c r="H585" s="287"/>
      <c r="I585" s="74">
        <f>I586</f>
        <v>0</v>
      </c>
      <c r="J585" s="74">
        <f>J586</f>
        <v>0</v>
      </c>
      <c r="K585" s="271">
        <f t="shared" si="92"/>
        <v>0</v>
      </c>
      <c r="L585" s="74">
        <f>L586</f>
        <v>0</v>
      </c>
      <c r="M585" s="74">
        <f>M586</f>
        <v>0</v>
      </c>
    </row>
    <row r="586" spans="1:13" s="276" customFormat="1" ht="15" hidden="1">
      <c r="A586" s="112" t="s">
        <v>690</v>
      </c>
      <c r="B586" s="270">
        <v>111</v>
      </c>
      <c r="C586" s="100" t="s">
        <v>44</v>
      </c>
      <c r="D586" s="99" t="s">
        <v>425</v>
      </c>
      <c r="E586" s="99" t="s">
        <v>329</v>
      </c>
      <c r="F586" s="99" t="s">
        <v>147</v>
      </c>
      <c r="G586" s="99" t="s">
        <v>465</v>
      </c>
      <c r="H586" s="99" t="s">
        <v>691</v>
      </c>
      <c r="I586" s="74"/>
      <c r="J586" s="74"/>
      <c r="K586" s="271">
        <f t="shared" si="92"/>
        <v>0</v>
      </c>
      <c r="L586" s="74"/>
      <c r="M586" s="74"/>
    </row>
    <row r="587" spans="1:13" s="276" customFormat="1" ht="30" customHeight="1">
      <c r="A587" s="125" t="s">
        <v>47</v>
      </c>
      <c r="B587" s="266">
        <v>111</v>
      </c>
      <c r="C587" s="95" t="s">
        <v>48</v>
      </c>
      <c r="D587" s="67"/>
      <c r="E587" s="67"/>
      <c r="F587" s="67"/>
      <c r="G587" s="67"/>
      <c r="H587" s="286"/>
      <c r="I587" s="36">
        <f>I588+I597+I602</f>
        <v>25147.2</v>
      </c>
      <c r="J587" s="36">
        <f>J588+J597+J602</f>
        <v>25660.2</v>
      </c>
      <c r="K587" s="267">
        <f t="shared" si="92"/>
        <v>513</v>
      </c>
      <c r="L587" s="36">
        <f>L588+L597+L602</f>
        <v>25721.4</v>
      </c>
      <c r="M587" s="36">
        <f>M588+M597+M602</f>
        <v>26680.7</v>
      </c>
    </row>
    <row r="588" spans="1:13" s="276" customFormat="1" ht="42.75">
      <c r="A588" s="127" t="s">
        <v>173</v>
      </c>
      <c r="B588" s="266">
        <v>111</v>
      </c>
      <c r="C588" s="95" t="s">
        <v>48</v>
      </c>
      <c r="D588" s="67" t="s">
        <v>174</v>
      </c>
      <c r="E588" s="67" t="s">
        <v>148</v>
      </c>
      <c r="F588" s="67" t="s">
        <v>149</v>
      </c>
      <c r="G588" s="67" t="s">
        <v>150</v>
      </c>
      <c r="H588" s="67"/>
      <c r="I588" s="36">
        <f>I589+I593</f>
        <v>241</v>
      </c>
      <c r="J588" s="36">
        <f>J589+J593</f>
        <v>241</v>
      </c>
      <c r="K588" s="267">
        <f t="shared" si="92"/>
        <v>0</v>
      </c>
      <c r="L588" s="36">
        <f>L589+L593</f>
        <v>251</v>
      </c>
      <c r="M588" s="36">
        <f>M589+M593</f>
        <v>260</v>
      </c>
    </row>
    <row r="589" spans="1:13" s="276" customFormat="1" ht="48.75" customHeight="1">
      <c r="A589" s="124" t="s">
        <v>175</v>
      </c>
      <c r="B589" s="266">
        <v>111</v>
      </c>
      <c r="C589" s="95" t="s">
        <v>48</v>
      </c>
      <c r="D589" s="67" t="s">
        <v>174</v>
      </c>
      <c r="E589" s="67" t="s">
        <v>131</v>
      </c>
      <c r="F589" s="67" t="s">
        <v>149</v>
      </c>
      <c r="G589" s="67" t="s">
        <v>150</v>
      </c>
      <c r="H589" s="67"/>
      <c r="I589" s="36">
        <f aca="true" t="shared" si="93" ref="I589:M591">I590</f>
        <v>141</v>
      </c>
      <c r="J589" s="36">
        <f t="shared" si="93"/>
        <v>141</v>
      </c>
      <c r="K589" s="267">
        <f t="shared" si="92"/>
        <v>0</v>
      </c>
      <c r="L589" s="36">
        <f t="shared" si="93"/>
        <v>141</v>
      </c>
      <c r="M589" s="36">
        <f t="shared" si="93"/>
        <v>140</v>
      </c>
    </row>
    <row r="590" spans="1:13" s="276" customFormat="1" ht="42.75">
      <c r="A590" s="125" t="s">
        <v>176</v>
      </c>
      <c r="B590" s="266">
        <v>111</v>
      </c>
      <c r="C590" s="95" t="s">
        <v>48</v>
      </c>
      <c r="D590" s="67" t="s">
        <v>174</v>
      </c>
      <c r="E590" s="67" t="s">
        <v>131</v>
      </c>
      <c r="F590" s="67" t="s">
        <v>147</v>
      </c>
      <c r="G590" s="67" t="s">
        <v>150</v>
      </c>
      <c r="H590" s="67"/>
      <c r="I590" s="36">
        <f t="shared" si="93"/>
        <v>141</v>
      </c>
      <c r="J590" s="36">
        <f t="shared" si="93"/>
        <v>141</v>
      </c>
      <c r="K590" s="267">
        <f t="shared" si="92"/>
        <v>0</v>
      </c>
      <c r="L590" s="36">
        <f t="shared" si="93"/>
        <v>141</v>
      </c>
      <c r="M590" s="36">
        <f t="shared" si="93"/>
        <v>140</v>
      </c>
    </row>
    <row r="591" spans="1:13" ht="60">
      <c r="A591" s="111" t="s">
        <v>179</v>
      </c>
      <c r="B591" s="270">
        <v>111</v>
      </c>
      <c r="C591" s="100" t="s">
        <v>48</v>
      </c>
      <c r="D591" s="99" t="s">
        <v>174</v>
      </c>
      <c r="E591" s="99" t="s">
        <v>131</v>
      </c>
      <c r="F591" s="99" t="s">
        <v>147</v>
      </c>
      <c r="G591" s="99" t="s">
        <v>180</v>
      </c>
      <c r="H591" s="99"/>
      <c r="I591" s="74">
        <f t="shared" si="93"/>
        <v>141</v>
      </c>
      <c r="J591" s="74">
        <f t="shared" si="93"/>
        <v>141</v>
      </c>
      <c r="K591" s="271">
        <f t="shared" si="92"/>
        <v>0</v>
      </c>
      <c r="L591" s="74">
        <f t="shared" si="93"/>
        <v>141</v>
      </c>
      <c r="M591" s="74">
        <f t="shared" si="93"/>
        <v>140</v>
      </c>
    </row>
    <row r="592" spans="1:13" ht="60">
      <c r="A592" s="111" t="s">
        <v>680</v>
      </c>
      <c r="B592" s="270">
        <v>111</v>
      </c>
      <c r="C592" s="100" t="s">
        <v>48</v>
      </c>
      <c r="D592" s="99" t="s">
        <v>174</v>
      </c>
      <c r="E592" s="99" t="s">
        <v>131</v>
      </c>
      <c r="F592" s="99" t="s">
        <v>147</v>
      </c>
      <c r="G592" s="99" t="s">
        <v>180</v>
      </c>
      <c r="H592" s="99" t="s">
        <v>681</v>
      </c>
      <c r="I592" s="74">
        <v>141</v>
      </c>
      <c r="J592" s="74">
        <v>141</v>
      </c>
      <c r="K592" s="271">
        <f t="shared" si="92"/>
        <v>0</v>
      </c>
      <c r="L592" s="74">
        <v>141</v>
      </c>
      <c r="M592" s="74">
        <v>140</v>
      </c>
    </row>
    <row r="593" spans="1:13" s="276" customFormat="1" ht="28.5">
      <c r="A593" s="118" t="s">
        <v>922</v>
      </c>
      <c r="B593" s="266">
        <v>111</v>
      </c>
      <c r="C593" s="95" t="s">
        <v>48</v>
      </c>
      <c r="D593" s="67" t="s">
        <v>174</v>
      </c>
      <c r="E593" s="67" t="s">
        <v>134</v>
      </c>
      <c r="F593" s="67" t="s">
        <v>149</v>
      </c>
      <c r="G593" s="95" t="s">
        <v>150</v>
      </c>
      <c r="H593" s="94"/>
      <c r="I593" s="36">
        <f aca="true" t="shared" si="94" ref="I593:J595">I594</f>
        <v>100</v>
      </c>
      <c r="J593" s="36">
        <f t="shared" si="94"/>
        <v>100</v>
      </c>
      <c r="K593" s="267">
        <f aca="true" t="shared" si="95" ref="K593:K608">J593-I593</f>
        <v>0</v>
      </c>
      <c r="L593" s="36">
        <f aca="true" t="shared" si="96" ref="L593:M595">L594</f>
        <v>110</v>
      </c>
      <c r="M593" s="36">
        <f t="shared" si="96"/>
        <v>120</v>
      </c>
    </row>
    <row r="594" spans="1:13" ht="28.5">
      <c r="A594" s="118" t="s">
        <v>839</v>
      </c>
      <c r="B594" s="266">
        <v>111</v>
      </c>
      <c r="C594" s="95" t="s">
        <v>48</v>
      </c>
      <c r="D594" s="67" t="s">
        <v>174</v>
      </c>
      <c r="E594" s="67" t="s">
        <v>134</v>
      </c>
      <c r="F594" s="67" t="s">
        <v>147</v>
      </c>
      <c r="G594" s="95" t="s">
        <v>150</v>
      </c>
      <c r="H594" s="94"/>
      <c r="I594" s="74">
        <f t="shared" si="94"/>
        <v>100</v>
      </c>
      <c r="J594" s="74">
        <f t="shared" si="94"/>
        <v>100</v>
      </c>
      <c r="K594" s="271">
        <f t="shared" si="95"/>
        <v>0</v>
      </c>
      <c r="L594" s="74">
        <f t="shared" si="96"/>
        <v>110</v>
      </c>
      <c r="M594" s="74">
        <f t="shared" si="96"/>
        <v>120</v>
      </c>
    </row>
    <row r="595" spans="1:13" ht="30">
      <c r="A595" s="89" t="s">
        <v>840</v>
      </c>
      <c r="B595" s="270">
        <v>111</v>
      </c>
      <c r="C595" s="100" t="s">
        <v>48</v>
      </c>
      <c r="D595" s="99" t="s">
        <v>174</v>
      </c>
      <c r="E595" s="99" t="s">
        <v>134</v>
      </c>
      <c r="F595" s="99" t="s">
        <v>147</v>
      </c>
      <c r="G595" s="100" t="s">
        <v>841</v>
      </c>
      <c r="H595" s="117"/>
      <c r="I595" s="74">
        <f t="shared" si="94"/>
        <v>100</v>
      </c>
      <c r="J595" s="74">
        <f t="shared" si="94"/>
        <v>100</v>
      </c>
      <c r="K595" s="271">
        <f t="shared" si="95"/>
        <v>0</v>
      </c>
      <c r="L595" s="74">
        <f t="shared" si="96"/>
        <v>110</v>
      </c>
      <c r="M595" s="74">
        <f t="shared" si="96"/>
        <v>120</v>
      </c>
    </row>
    <row r="596" spans="1:13" ht="30">
      <c r="A596" s="107" t="s">
        <v>683</v>
      </c>
      <c r="B596" s="270">
        <v>111</v>
      </c>
      <c r="C596" s="100" t="s">
        <v>48</v>
      </c>
      <c r="D596" s="99" t="s">
        <v>174</v>
      </c>
      <c r="E596" s="99" t="s">
        <v>134</v>
      </c>
      <c r="F596" s="99" t="s">
        <v>147</v>
      </c>
      <c r="G596" s="100" t="s">
        <v>841</v>
      </c>
      <c r="H596" s="117">
        <v>200</v>
      </c>
      <c r="I596" s="119">
        <v>100</v>
      </c>
      <c r="J596" s="119">
        <v>100</v>
      </c>
      <c r="K596" s="271">
        <f t="shared" si="95"/>
        <v>0</v>
      </c>
      <c r="L596" s="74">
        <v>110</v>
      </c>
      <c r="M596" s="74">
        <v>120</v>
      </c>
    </row>
    <row r="597" spans="1:13" ht="42.75">
      <c r="A597" s="110" t="s">
        <v>331</v>
      </c>
      <c r="B597" s="266">
        <v>111</v>
      </c>
      <c r="C597" s="95" t="s">
        <v>48</v>
      </c>
      <c r="D597" s="67" t="s">
        <v>300</v>
      </c>
      <c r="E597" s="67" t="s">
        <v>148</v>
      </c>
      <c r="F597" s="67" t="s">
        <v>149</v>
      </c>
      <c r="G597" s="67" t="s">
        <v>150</v>
      </c>
      <c r="H597" s="67"/>
      <c r="I597" s="36">
        <f aca="true" t="shared" si="97" ref="I597:M600">I598</f>
        <v>98.5</v>
      </c>
      <c r="J597" s="36">
        <f t="shared" si="97"/>
        <v>98.5</v>
      </c>
      <c r="K597" s="267">
        <f t="shared" si="95"/>
        <v>0</v>
      </c>
      <c r="L597" s="36">
        <f t="shared" si="97"/>
        <v>100</v>
      </c>
      <c r="M597" s="36">
        <f t="shared" si="97"/>
        <v>110</v>
      </c>
    </row>
    <row r="598" spans="1:13" s="276" customFormat="1" ht="42.75">
      <c r="A598" s="97" t="s">
        <v>777</v>
      </c>
      <c r="B598" s="266">
        <v>111</v>
      </c>
      <c r="C598" s="95" t="s">
        <v>48</v>
      </c>
      <c r="D598" s="67" t="s">
        <v>300</v>
      </c>
      <c r="E598" s="67" t="s">
        <v>134</v>
      </c>
      <c r="F598" s="67" t="s">
        <v>149</v>
      </c>
      <c r="G598" s="67" t="s">
        <v>150</v>
      </c>
      <c r="H598" s="67"/>
      <c r="I598" s="36">
        <f t="shared" si="97"/>
        <v>98.5</v>
      </c>
      <c r="J598" s="36">
        <f t="shared" si="97"/>
        <v>98.5</v>
      </c>
      <c r="K598" s="267">
        <f t="shared" si="95"/>
        <v>0</v>
      </c>
      <c r="L598" s="36">
        <f t="shared" si="97"/>
        <v>100</v>
      </c>
      <c r="M598" s="36">
        <f t="shared" si="97"/>
        <v>110</v>
      </c>
    </row>
    <row r="599" spans="1:13" s="276" customFormat="1" ht="28.5">
      <c r="A599" s="124" t="s">
        <v>778</v>
      </c>
      <c r="B599" s="266" t="s">
        <v>25</v>
      </c>
      <c r="C599" s="95" t="s">
        <v>48</v>
      </c>
      <c r="D599" s="67" t="s">
        <v>300</v>
      </c>
      <c r="E599" s="67" t="s">
        <v>134</v>
      </c>
      <c r="F599" s="67" t="s">
        <v>147</v>
      </c>
      <c r="G599" s="67" t="s">
        <v>150</v>
      </c>
      <c r="H599" s="67"/>
      <c r="I599" s="36">
        <f t="shared" si="97"/>
        <v>98.5</v>
      </c>
      <c r="J599" s="36">
        <f t="shared" si="97"/>
        <v>98.5</v>
      </c>
      <c r="K599" s="267">
        <f t="shared" si="95"/>
        <v>0</v>
      </c>
      <c r="L599" s="36">
        <f t="shared" si="97"/>
        <v>100</v>
      </c>
      <c r="M599" s="36">
        <f t="shared" si="97"/>
        <v>110</v>
      </c>
    </row>
    <row r="600" spans="1:13" ht="30">
      <c r="A600" s="115" t="s">
        <v>343</v>
      </c>
      <c r="B600" s="270" t="s">
        <v>25</v>
      </c>
      <c r="C600" s="100" t="s">
        <v>48</v>
      </c>
      <c r="D600" s="99" t="s">
        <v>300</v>
      </c>
      <c r="E600" s="99" t="s">
        <v>134</v>
      </c>
      <c r="F600" s="99" t="s">
        <v>147</v>
      </c>
      <c r="G600" s="99" t="s">
        <v>344</v>
      </c>
      <c r="H600" s="99"/>
      <c r="I600" s="74">
        <f t="shared" si="97"/>
        <v>98.5</v>
      </c>
      <c r="J600" s="74">
        <f t="shared" si="97"/>
        <v>98.5</v>
      </c>
      <c r="K600" s="271">
        <f t="shared" si="95"/>
        <v>0</v>
      </c>
      <c r="L600" s="74">
        <f t="shared" si="97"/>
        <v>100</v>
      </c>
      <c r="M600" s="74">
        <f t="shared" si="97"/>
        <v>110</v>
      </c>
    </row>
    <row r="601" spans="1:13" ht="30">
      <c r="A601" s="111" t="s">
        <v>683</v>
      </c>
      <c r="B601" s="270" t="s">
        <v>25</v>
      </c>
      <c r="C601" s="100" t="s">
        <v>48</v>
      </c>
      <c r="D601" s="99" t="s">
        <v>300</v>
      </c>
      <c r="E601" s="99" t="s">
        <v>134</v>
      </c>
      <c r="F601" s="99" t="s">
        <v>147</v>
      </c>
      <c r="G601" s="99" t="s">
        <v>344</v>
      </c>
      <c r="H601" s="99" t="s">
        <v>682</v>
      </c>
      <c r="I601" s="74">
        <v>98.5</v>
      </c>
      <c r="J601" s="74">
        <v>98.5</v>
      </c>
      <c r="K601" s="271">
        <f t="shared" si="95"/>
        <v>0</v>
      </c>
      <c r="L601" s="74">
        <v>100</v>
      </c>
      <c r="M601" s="74">
        <v>110</v>
      </c>
    </row>
    <row r="602" spans="1:13" ht="28.5">
      <c r="A602" s="127" t="s">
        <v>396</v>
      </c>
      <c r="B602" s="266" t="s">
        <v>25</v>
      </c>
      <c r="C602" s="95" t="s">
        <v>48</v>
      </c>
      <c r="D602" s="95" t="s">
        <v>397</v>
      </c>
      <c r="E602" s="95" t="s">
        <v>148</v>
      </c>
      <c r="F602" s="95" t="s">
        <v>149</v>
      </c>
      <c r="G602" s="95" t="s">
        <v>150</v>
      </c>
      <c r="H602" s="94"/>
      <c r="I602" s="36">
        <f aca="true" t="shared" si="98" ref="I602:M603">I603</f>
        <v>24807.7</v>
      </c>
      <c r="J602" s="36">
        <f t="shared" si="98"/>
        <v>25320.7</v>
      </c>
      <c r="K602" s="267">
        <f t="shared" si="95"/>
        <v>513</v>
      </c>
      <c r="L602" s="36">
        <f t="shared" si="98"/>
        <v>25370.4</v>
      </c>
      <c r="M602" s="36">
        <f t="shared" si="98"/>
        <v>26310.7</v>
      </c>
    </row>
    <row r="603" spans="1:13" ht="28.5">
      <c r="A603" s="124" t="s">
        <v>483</v>
      </c>
      <c r="B603" s="266" t="s">
        <v>25</v>
      </c>
      <c r="C603" s="95" t="s">
        <v>48</v>
      </c>
      <c r="D603" s="67" t="s">
        <v>397</v>
      </c>
      <c r="E603" s="67" t="s">
        <v>134</v>
      </c>
      <c r="F603" s="67" t="s">
        <v>149</v>
      </c>
      <c r="G603" s="67" t="s">
        <v>150</v>
      </c>
      <c r="H603" s="67"/>
      <c r="I603" s="36">
        <f t="shared" si="98"/>
        <v>24807.7</v>
      </c>
      <c r="J603" s="36">
        <f t="shared" si="98"/>
        <v>25320.7</v>
      </c>
      <c r="K603" s="267">
        <f t="shared" si="95"/>
        <v>513</v>
      </c>
      <c r="L603" s="36">
        <f t="shared" si="98"/>
        <v>25370.4</v>
      </c>
      <c r="M603" s="36">
        <f t="shared" si="98"/>
        <v>26310.7</v>
      </c>
    </row>
    <row r="604" spans="1:13" s="276" customFormat="1" ht="14.25">
      <c r="A604" s="125" t="s">
        <v>399</v>
      </c>
      <c r="B604" s="266" t="s">
        <v>25</v>
      </c>
      <c r="C604" s="95" t="s">
        <v>48</v>
      </c>
      <c r="D604" s="95" t="s">
        <v>397</v>
      </c>
      <c r="E604" s="95" t="s">
        <v>134</v>
      </c>
      <c r="F604" s="95" t="s">
        <v>147</v>
      </c>
      <c r="G604" s="95" t="s">
        <v>150</v>
      </c>
      <c r="H604" s="94"/>
      <c r="I604" s="36">
        <f>I605+I609+I613+I611</f>
        <v>24807.7</v>
      </c>
      <c r="J604" s="36">
        <f>J605+J609+J613+J611</f>
        <v>25320.7</v>
      </c>
      <c r="K604" s="267">
        <f t="shared" si="95"/>
        <v>513</v>
      </c>
      <c r="L604" s="36">
        <f>L605+L609+L613+L611</f>
        <v>25370.4</v>
      </c>
      <c r="M604" s="36">
        <f>M605+M609+M613+M611</f>
        <v>26310.7</v>
      </c>
    </row>
    <row r="605" spans="1:13" ht="15">
      <c r="A605" s="111" t="s">
        <v>400</v>
      </c>
      <c r="B605" s="270" t="s">
        <v>25</v>
      </c>
      <c r="C605" s="100" t="s">
        <v>48</v>
      </c>
      <c r="D605" s="100" t="s">
        <v>397</v>
      </c>
      <c r="E605" s="100" t="s">
        <v>134</v>
      </c>
      <c r="F605" s="100" t="s">
        <v>147</v>
      </c>
      <c r="G605" s="100" t="s">
        <v>401</v>
      </c>
      <c r="H605" s="117"/>
      <c r="I605" s="74">
        <f>I606+I607+I608</f>
        <v>22349</v>
      </c>
      <c r="J605" s="74">
        <f>J606+J607+J608</f>
        <v>22862</v>
      </c>
      <c r="K605" s="271">
        <f t="shared" si="95"/>
        <v>513</v>
      </c>
      <c r="L605" s="74">
        <f>L606+L607+L608</f>
        <v>22911.7</v>
      </c>
      <c r="M605" s="74">
        <f>M606+M607+M608</f>
        <v>23852</v>
      </c>
    </row>
    <row r="606" spans="1:13" ht="60">
      <c r="A606" s="111" t="s">
        <v>680</v>
      </c>
      <c r="B606" s="270" t="s">
        <v>25</v>
      </c>
      <c r="C606" s="100" t="s">
        <v>48</v>
      </c>
      <c r="D606" s="100" t="s">
        <v>397</v>
      </c>
      <c r="E606" s="100" t="s">
        <v>134</v>
      </c>
      <c r="F606" s="100" t="s">
        <v>147</v>
      </c>
      <c r="G606" s="100" t="s">
        <v>401</v>
      </c>
      <c r="H606" s="117">
        <v>100</v>
      </c>
      <c r="I606" s="74">
        <v>21460.4</v>
      </c>
      <c r="J606" s="74">
        <f>21460.4+513+100</f>
        <v>22073.4</v>
      </c>
      <c r="K606" s="271">
        <f t="shared" si="95"/>
        <v>613</v>
      </c>
      <c r="L606" s="74">
        <v>21928.5</v>
      </c>
      <c r="M606" s="74">
        <v>22806</v>
      </c>
    </row>
    <row r="607" spans="1:13" s="276" customFormat="1" ht="30">
      <c r="A607" s="111" t="s">
        <v>683</v>
      </c>
      <c r="B607" s="270" t="s">
        <v>25</v>
      </c>
      <c r="C607" s="100" t="s">
        <v>48</v>
      </c>
      <c r="D607" s="100" t="s">
        <v>397</v>
      </c>
      <c r="E607" s="100" t="s">
        <v>134</v>
      </c>
      <c r="F607" s="100" t="s">
        <v>147</v>
      </c>
      <c r="G607" s="100" t="s">
        <v>401</v>
      </c>
      <c r="H607" s="117">
        <v>200</v>
      </c>
      <c r="I607" s="74">
        <v>858.6</v>
      </c>
      <c r="J607" s="74">
        <f>858.6-100</f>
        <v>758.6</v>
      </c>
      <c r="K607" s="271">
        <f t="shared" si="95"/>
        <v>-100</v>
      </c>
      <c r="L607" s="74">
        <v>953.2</v>
      </c>
      <c r="M607" s="74">
        <v>1016</v>
      </c>
    </row>
    <row r="608" spans="1:13" s="276" customFormat="1" ht="15">
      <c r="A608" s="111" t="s">
        <v>684</v>
      </c>
      <c r="B608" s="270" t="s">
        <v>25</v>
      </c>
      <c r="C608" s="100" t="s">
        <v>48</v>
      </c>
      <c r="D608" s="100" t="s">
        <v>397</v>
      </c>
      <c r="E608" s="100" t="s">
        <v>134</v>
      </c>
      <c r="F608" s="100" t="s">
        <v>147</v>
      </c>
      <c r="G608" s="100" t="s">
        <v>401</v>
      </c>
      <c r="H608" s="117">
        <v>800</v>
      </c>
      <c r="I608" s="74">
        <v>30</v>
      </c>
      <c r="J608" s="74">
        <v>30</v>
      </c>
      <c r="K608" s="271">
        <f t="shared" si="95"/>
        <v>0</v>
      </c>
      <c r="L608" s="74">
        <v>30</v>
      </c>
      <c r="M608" s="74">
        <v>30</v>
      </c>
    </row>
    <row r="609" spans="1:13" s="276" customFormat="1" ht="30">
      <c r="A609" s="111" t="s">
        <v>405</v>
      </c>
      <c r="B609" s="270" t="s">
        <v>25</v>
      </c>
      <c r="C609" s="100" t="s">
        <v>48</v>
      </c>
      <c r="D609" s="100" t="s">
        <v>397</v>
      </c>
      <c r="E609" s="100" t="s">
        <v>134</v>
      </c>
      <c r="F609" s="100" t="s">
        <v>147</v>
      </c>
      <c r="G609" s="100" t="s">
        <v>406</v>
      </c>
      <c r="H609" s="117"/>
      <c r="I609" s="74">
        <f>I610</f>
        <v>2458.7</v>
      </c>
      <c r="J609" s="74">
        <f>J610</f>
        <v>2458.7</v>
      </c>
      <c r="K609" s="271">
        <f aca="true" t="shared" si="99" ref="K609:K620">J609-I609</f>
        <v>0</v>
      </c>
      <c r="L609" s="74">
        <f>L610</f>
        <v>2458.7</v>
      </c>
      <c r="M609" s="74">
        <f>M610</f>
        <v>2458.7</v>
      </c>
    </row>
    <row r="610" spans="1:13" ht="60">
      <c r="A610" s="111" t="s">
        <v>680</v>
      </c>
      <c r="B610" s="270" t="s">
        <v>25</v>
      </c>
      <c r="C610" s="100" t="s">
        <v>48</v>
      </c>
      <c r="D610" s="100" t="s">
        <v>397</v>
      </c>
      <c r="E610" s="100" t="s">
        <v>134</v>
      </c>
      <c r="F610" s="100" t="s">
        <v>147</v>
      </c>
      <c r="G610" s="100" t="s">
        <v>406</v>
      </c>
      <c r="H610" s="117">
        <v>100</v>
      </c>
      <c r="I610" s="74">
        <v>2458.7</v>
      </c>
      <c r="J610" s="74">
        <v>2458.7</v>
      </c>
      <c r="K610" s="271">
        <f t="shared" si="99"/>
        <v>0</v>
      </c>
      <c r="L610" s="74">
        <v>2458.7</v>
      </c>
      <c r="M610" s="74">
        <v>2458.7</v>
      </c>
    </row>
    <row r="611" spans="1:13" ht="45" hidden="1">
      <c r="A611" s="111" t="s">
        <v>986</v>
      </c>
      <c r="B611" s="270" t="s">
        <v>25</v>
      </c>
      <c r="C611" s="100" t="s">
        <v>48</v>
      </c>
      <c r="D611" s="100" t="s">
        <v>397</v>
      </c>
      <c r="E611" s="100" t="s">
        <v>134</v>
      </c>
      <c r="F611" s="100" t="s">
        <v>147</v>
      </c>
      <c r="G611" s="100" t="s">
        <v>987</v>
      </c>
      <c r="H611" s="117"/>
      <c r="I611" s="74"/>
      <c r="J611" s="74">
        <f>J612</f>
        <v>0</v>
      </c>
      <c r="K611" s="271">
        <f t="shared" si="99"/>
        <v>0</v>
      </c>
      <c r="L611" s="74">
        <f>L612</f>
        <v>0</v>
      </c>
      <c r="M611" s="74">
        <f>M612</f>
        <v>0</v>
      </c>
    </row>
    <row r="612" spans="1:13" ht="30" hidden="1">
      <c r="A612" s="111" t="s">
        <v>683</v>
      </c>
      <c r="B612" s="270" t="s">
        <v>25</v>
      </c>
      <c r="C612" s="100" t="s">
        <v>48</v>
      </c>
      <c r="D612" s="100" t="s">
        <v>397</v>
      </c>
      <c r="E612" s="100" t="s">
        <v>134</v>
      </c>
      <c r="F612" s="100" t="s">
        <v>147</v>
      </c>
      <c r="G612" s="100" t="s">
        <v>987</v>
      </c>
      <c r="H612" s="117">
        <v>200</v>
      </c>
      <c r="I612" s="74"/>
      <c r="J612" s="74"/>
      <c r="K612" s="271">
        <f t="shared" si="99"/>
        <v>0</v>
      </c>
      <c r="L612" s="74"/>
      <c r="M612" s="74"/>
    </row>
    <row r="613" spans="1:13" ht="60" hidden="1">
      <c r="A613" s="111" t="s">
        <v>179</v>
      </c>
      <c r="B613" s="270" t="s">
        <v>25</v>
      </c>
      <c r="C613" s="100" t="s">
        <v>48</v>
      </c>
      <c r="D613" s="100" t="s">
        <v>397</v>
      </c>
      <c r="E613" s="100" t="s">
        <v>134</v>
      </c>
      <c r="F613" s="100" t="s">
        <v>147</v>
      </c>
      <c r="G613" s="100" t="s">
        <v>180</v>
      </c>
      <c r="H613" s="117"/>
      <c r="I613" s="74"/>
      <c r="J613" s="74">
        <f>J614</f>
        <v>0</v>
      </c>
      <c r="K613" s="271">
        <f t="shared" si="99"/>
        <v>0</v>
      </c>
      <c r="L613" s="74">
        <f>L614</f>
        <v>0</v>
      </c>
      <c r="M613" s="74">
        <f>M614</f>
        <v>0</v>
      </c>
    </row>
    <row r="614" spans="1:13" ht="60" hidden="1">
      <c r="A614" s="111" t="s">
        <v>680</v>
      </c>
      <c r="B614" s="270" t="s">
        <v>25</v>
      </c>
      <c r="C614" s="100" t="s">
        <v>48</v>
      </c>
      <c r="D614" s="100" t="s">
        <v>397</v>
      </c>
      <c r="E614" s="100" t="s">
        <v>134</v>
      </c>
      <c r="F614" s="100" t="s">
        <v>147</v>
      </c>
      <c r="G614" s="100" t="s">
        <v>180</v>
      </c>
      <c r="H614" s="117">
        <v>100</v>
      </c>
      <c r="I614" s="74"/>
      <c r="J614" s="134"/>
      <c r="K614" s="271">
        <f t="shared" si="99"/>
        <v>0</v>
      </c>
      <c r="L614" s="74"/>
      <c r="M614" s="74"/>
    </row>
    <row r="615" spans="1:13" ht="15">
      <c r="A615" s="125" t="s">
        <v>431</v>
      </c>
      <c r="B615" s="279" t="s">
        <v>25</v>
      </c>
      <c r="C615" s="95" t="s">
        <v>50</v>
      </c>
      <c r="D615" s="280"/>
      <c r="E615" s="280"/>
      <c r="F615" s="280"/>
      <c r="G615" s="280"/>
      <c r="H615" s="137"/>
      <c r="I615" s="84">
        <f aca="true" t="shared" si="100" ref="I615:M617">I616</f>
        <v>22322.2</v>
      </c>
      <c r="J615" s="84">
        <f t="shared" si="100"/>
        <v>3778.1999999999994</v>
      </c>
      <c r="K615" s="267">
        <f t="shared" si="99"/>
        <v>-18544</v>
      </c>
      <c r="L615" s="84">
        <f t="shared" si="100"/>
        <v>856.3999999999996</v>
      </c>
      <c r="M615" s="84">
        <f t="shared" si="100"/>
        <v>14342.8</v>
      </c>
    </row>
    <row r="616" spans="1:13" ht="15">
      <c r="A616" s="127" t="s">
        <v>424</v>
      </c>
      <c r="B616" s="266" t="s">
        <v>25</v>
      </c>
      <c r="C616" s="95" t="s">
        <v>50</v>
      </c>
      <c r="D616" s="95" t="s">
        <v>425</v>
      </c>
      <c r="E616" s="95" t="s">
        <v>148</v>
      </c>
      <c r="F616" s="95" t="s">
        <v>149</v>
      </c>
      <c r="G616" s="95" t="s">
        <v>150</v>
      </c>
      <c r="H616" s="94"/>
      <c r="I616" s="36">
        <f t="shared" si="100"/>
        <v>22322.2</v>
      </c>
      <c r="J616" s="36">
        <f t="shared" si="100"/>
        <v>3778.1999999999994</v>
      </c>
      <c r="K616" s="267">
        <f t="shared" si="99"/>
        <v>-18544</v>
      </c>
      <c r="L616" s="36">
        <f t="shared" si="100"/>
        <v>856.3999999999996</v>
      </c>
      <c r="M616" s="36">
        <f t="shared" si="100"/>
        <v>14342.8</v>
      </c>
    </row>
    <row r="617" spans="1:13" ht="15">
      <c r="A617" s="124" t="s">
        <v>399</v>
      </c>
      <c r="B617" s="266" t="s">
        <v>25</v>
      </c>
      <c r="C617" s="95" t="s">
        <v>50</v>
      </c>
      <c r="D617" s="67" t="s">
        <v>425</v>
      </c>
      <c r="E617" s="67" t="s">
        <v>329</v>
      </c>
      <c r="F617" s="67" t="s">
        <v>149</v>
      </c>
      <c r="G617" s="67" t="s">
        <v>150</v>
      </c>
      <c r="H617" s="67"/>
      <c r="I617" s="36">
        <f t="shared" si="100"/>
        <v>22322.2</v>
      </c>
      <c r="J617" s="36">
        <f t="shared" si="100"/>
        <v>3778.1999999999994</v>
      </c>
      <c r="K617" s="267">
        <f t="shared" si="99"/>
        <v>-18544</v>
      </c>
      <c r="L617" s="36">
        <f t="shared" si="100"/>
        <v>856.3999999999996</v>
      </c>
      <c r="M617" s="36">
        <f t="shared" si="100"/>
        <v>14342.8</v>
      </c>
    </row>
    <row r="618" spans="1:13" s="276" customFormat="1" ht="14.25">
      <c r="A618" s="125" t="s">
        <v>399</v>
      </c>
      <c r="B618" s="266" t="s">
        <v>25</v>
      </c>
      <c r="C618" s="95" t="s">
        <v>50</v>
      </c>
      <c r="D618" s="95" t="s">
        <v>425</v>
      </c>
      <c r="E618" s="95" t="s">
        <v>329</v>
      </c>
      <c r="F618" s="95" t="s">
        <v>147</v>
      </c>
      <c r="G618" s="95" t="s">
        <v>150</v>
      </c>
      <c r="H618" s="94"/>
      <c r="I618" s="36">
        <f aca="true" t="shared" si="101" ref="I618:M619">I619</f>
        <v>22322.2</v>
      </c>
      <c r="J618" s="36">
        <f t="shared" si="101"/>
        <v>3778.1999999999994</v>
      </c>
      <c r="K618" s="267">
        <f t="shared" si="99"/>
        <v>-18544</v>
      </c>
      <c r="L618" s="36">
        <f t="shared" si="101"/>
        <v>856.3999999999996</v>
      </c>
      <c r="M618" s="36">
        <f t="shared" si="101"/>
        <v>14342.8</v>
      </c>
    </row>
    <row r="619" spans="1:13" s="156" customFormat="1" ht="15">
      <c r="A619" s="111" t="s">
        <v>429</v>
      </c>
      <c r="B619" s="270" t="s">
        <v>25</v>
      </c>
      <c r="C619" s="100" t="s">
        <v>50</v>
      </c>
      <c r="D619" s="100" t="s">
        <v>425</v>
      </c>
      <c r="E619" s="100" t="s">
        <v>329</v>
      </c>
      <c r="F619" s="100" t="s">
        <v>147</v>
      </c>
      <c r="G619" s="100" t="s">
        <v>430</v>
      </c>
      <c r="H619" s="117"/>
      <c r="I619" s="74">
        <f t="shared" si="101"/>
        <v>22322.2</v>
      </c>
      <c r="J619" s="74">
        <f t="shared" si="101"/>
        <v>3778.1999999999994</v>
      </c>
      <c r="K619" s="271">
        <f t="shared" si="99"/>
        <v>-18544</v>
      </c>
      <c r="L619" s="74">
        <f t="shared" si="101"/>
        <v>856.3999999999996</v>
      </c>
      <c r="M619" s="74">
        <f>M620</f>
        <v>14342.8</v>
      </c>
    </row>
    <row r="620" spans="1:13" s="272" customFormat="1" ht="15">
      <c r="A620" s="111" t="s">
        <v>684</v>
      </c>
      <c r="B620" s="270" t="s">
        <v>25</v>
      </c>
      <c r="C620" s="100" t="s">
        <v>50</v>
      </c>
      <c r="D620" s="100" t="s">
        <v>425</v>
      </c>
      <c r="E620" s="100" t="s">
        <v>329</v>
      </c>
      <c r="F620" s="100" t="s">
        <v>147</v>
      </c>
      <c r="G620" s="100" t="s">
        <v>430</v>
      </c>
      <c r="H620" s="117">
        <v>800</v>
      </c>
      <c r="I620" s="74">
        <f>15000-56.9-245.4-768-450-2417.5-1300-100-316.2-100-2802.7-1471.5+6000-6000-1500-1551.5+20401.9</f>
        <v>22322.2</v>
      </c>
      <c r="J620" s="74">
        <f>15000-56.9-245.4-768-450-2417.5-1300-100-316.2-100-2802.7-1471.5+6000-6000-1500-1551.5+20401.9-20401.9+1857.9</f>
        <v>3778.1999999999994</v>
      </c>
      <c r="K620" s="271">
        <f t="shared" si="99"/>
        <v>-18544</v>
      </c>
      <c r="L620" s="74">
        <f>15000-651.9-13491.7</f>
        <v>856.3999999999996</v>
      </c>
      <c r="M620" s="74">
        <f>15000-657.2</f>
        <v>14342.8</v>
      </c>
    </row>
    <row r="621" spans="1:13" s="272" customFormat="1" ht="14.25">
      <c r="A621" s="127" t="s">
        <v>51</v>
      </c>
      <c r="B621" s="266" t="s">
        <v>25</v>
      </c>
      <c r="C621" s="95" t="s">
        <v>52</v>
      </c>
      <c r="D621" s="67"/>
      <c r="E621" s="67"/>
      <c r="F621" s="67"/>
      <c r="G621" s="67"/>
      <c r="H621" s="286"/>
      <c r="I621" s="36">
        <f>I622+I627</f>
        <v>85</v>
      </c>
      <c r="J621" s="36">
        <f>J622+J627</f>
        <v>85</v>
      </c>
      <c r="K621" s="267">
        <f aca="true" t="shared" si="102" ref="K621:K628">J621-I621</f>
        <v>0</v>
      </c>
      <c r="L621" s="36">
        <f>L622+L627</f>
        <v>90</v>
      </c>
      <c r="M621" s="36">
        <f>M622+M627</f>
        <v>95</v>
      </c>
    </row>
    <row r="622" spans="1:13" s="156" customFormat="1" ht="42.75">
      <c r="A622" s="288" t="s">
        <v>331</v>
      </c>
      <c r="B622" s="266" t="s">
        <v>25</v>
      </c>
      <c r="C622" s="95" t="s">
        <v>52</v>
      </c>
      <c r="D622" s="67" t="s">
        <v>300</v>
      </c>
      <c r="E622" s="67" t="s">
        <v>148</v>
      </c>
      <c r="F622" s="67" t="s">
        <v>149</v>
      </c>
      <c r="G622" s="67" t="s">
        <v>150</v>
      </c>
      <c r="H622" s="67"/>
      <c r="I622" s="36">
        <f aca="true" t="shared" si="103" ref="I622:M625">I623</f>
        <v>85</v>
      </c>
      <c r="J622" s="36">
        <f t="shared" si="103"/>
        <v>85</v>
      </c>
      <c r="K622" s="267">
        <f t="shared" si="102"/>
        <v>0</v>
      </c>
      <c r="L622" s="36">
        <f t="shared" si="103"/>
        <v>90</v>
      </c>
      <c r="M622" s="36">
        <f t="shared" si="103"/>
        <v>95</v>
      </c>
    </row>
    <row r="623" spans="1:13" ht="42.75">
      <c r="A623" s="124" t="s">
        <v>777</v>
      </c>
      <c r="B623" s="266" t="s">
        <v>25</v>
      </c>
      <c r="C623" s="95" t="s">
        <v>52</v>
      </c>
      <c r="D623" s="67" t="s">
        <v>300</v>
      </c>
      <c r="E623" s="67" t="s">
        <v>134</v>
      </c>
      <c r="F623" s="67" t="s">
        <v>149</v>
      </c>
      <c r="G623" s="67" t="s">
        <v>150</v>
      </c>
      <c r="H623" s="67"/>
      <c r="I623" s="36">
        <f t="shared" si="103"/>
        <v>85</v>
      </c>
      <c r="J623" s="36">
        <f t="shared" si="103"/>
        <v>85</v>
      </c>
      <c r="K623" s="267">
        <f t="shared" si="102"/>
        <v>0</v>
      </c>
      <c r="L623" s="36">
        <f t="shared" si="103"/>
        <v>90</v>
      </c>
      <c r="M623" s="36">
        <f t="shared" si="103"/>
        <v>95</v>
      </c>
    </row>
    <row r="624" spans="1:13" s="276" customFormat="1" ht="28.5">
      <c r="A624" s="124" t="s">
        <v>778</v>
      </c>
      <c r="B624" s="266" t="s">
        <v>25</v>
      </c>
      <c r="C624" s="95" t="s">
        <v>52</v>
      </c>
      <c r="D624" s="67" t="s">
        <v>300</v>
      </c>
      <c r="E624" s="67" t="s">
        <v>134</v>
      </c>
      <c r="F624" s="67" t="s">
        <v>147</v>
      </c>
      <c r="G624" s="67" t="s">
        <v>150</v>
      </c>
      <c r="H624" s="67"/>
      <c r="I624" s="36">
        <f t="shared" si="103"/>
        <v>85</v>
      </c>
      <c r="J624" s="36">
        <f t="shared" si="103"/>
        <v>85</v>
      </c>
      <c r="K624" s="267">
        <f t="shared" si="102"/>
        <v>0</v>
      </c>
      <c r="L624" s="36">
        <f t="shared" si="103"/>
        <v>90</v>
      </c>
      <c r="M624" s="36">
        <f t="shared" si="103"/>
        <v>95</v>
      </c>
    </row>
    <row r="625" spans="1:13" ht="30">
      <c r="A625" s="115" t="s">
        <v>779</v>
      </c>
      <c r="B625" s="270" t="s">
        <v>25</v>
      </c>
      <c r="C625" s="100" t="s">
        <v>52</v>
      </c>
      <c r="D625" s="99" t="s">
        <v>300</v>
      </c>
      <c r="E625" s="99" t="s">
        <v>134</v>
      </c>
      <c r="F625" s="99" t="s">
        <v>147</v>
      </c>
      <c r="G625" s="99" t="s">
        <v>342</v>
      </c>
      <c r="H625" s="99"/>
      <c r="I625" s="74">
        <f t="shared" si="103"/>
        <v>85</v>
      </c>
      <c r="J625" s="74">
        <f t="shared" si="103"/>
        <v>85</v>
      </c>
      <c r="K625" s="271">
        <f t="shared" si="102"/>
        <v>0</v>
      </c>
      <c r="L625" s="74">
        <f t="shared" si="103"/>
        <v>90</v>
      </c>
      <c r="M625" s="74">
        <f t="shared" si="103"/>
        <v>95</v>
      </c>
    </row>
    <row r="626" spans="1:13" ht="30.75" customHeight="1">
      <c r="A626" s="111" t="s">
        <v>683</v>
      </c>
      <c r="B626" s="270" t="s">
        <v>25</v>
      </c>
      <c r="C626" s="100" t="s">
        <v>52</v>
      </c>
      <c r="D626" s="99" t="s">
        <v>300</v>
      </c>
      <c r="E626" s="99" t="s">
        <v>134</v>
      </c>
      <c r="F626" s="99" t="s">
        <v>147</v>
      </c>
      <c r="G626" s="99" t="s">
        <v>342</v>
      </c>
      <c r="H626" s="99" t="s">
        <v>682</v>
      </c>
      <c r="I626" s="74">
        <v>85</v>
      </c>
      <c r="J626" s="74">
        <v>85</v>
      </c>
      <c r="K626" s="271">
        <f t="shared" si="102"/>
        <v>0</v>
      </c>
      <c r="L626" s="74">
        <v>90</v>
      </c>
      <c r="M626" s="74">
        <v>95</v>
      </c>
    </row>
    <row r="627" spans="1:13" ht="15" hidden="1">
      <c r="A627" s="127" t="s">
        <v>424</v>
      </c>
      <c r="B627" s="266">
        <v>111</v>
      </c>
      <c r="C627" s="95" t="s">
        <v>52</v>
      </c>
      <c r="D627" s="67" t="s">
        <v>425</v>
      </c>
      <c r="E627" s="67" t="s">
        <v>148</v>
      </c>
      <c r="F627" s="67" t="s">
        <v>149</v>
      </c>
      <c r="G627" s="67" t="s">
        <v>150</v>
      </c>
      <c r="H627" s="67"/>
      <c r="I627" s="36"/>
      <c r="J627" s="36">
        <f aca="true" t="shared" si="104" ref="J627:M628">J628</f>
        <v>0</v>
      </c>
      <c r="K627" s="267">
        <f t="shared" si="102"/>
        <v>0</v>
      </c>
      <c r="L627" s="36">
        <f t="shared" si="104"/>
        <v>0</v>
      </c>
      <c r="M627" s="36">
        <f t="shared" si="104"/>
        <v>0</v>
      </c>
    </row>
    <row r="628" spans="1:13" ht="15" hidden="1">
      <c r="A628" s="125" t="s">
        <v>399</v>
      </c>
      <c r="B628" s="266">
        <v>111</v>
      </c>
      <c r="C628" s="95" t="s">
        <v>52</v>
      </c>
      <c r="D628" s="67" t="s">
        <v>425</v>
      </c>
      <c r="E628" s="67" t="s">
        <v>329</v>
      </c>
      <c r="F628" s="67" t="s">
        <v>149</v>
      </c>
      <c r="G628" s="67" t="s">
        <v>150</v>
      </c>
      <c r="H628" s="67"/>
      <c r="I628" s="36"/>
      <c r="J628" s="36">
        <f t="shared" si="104"/>
        <v>0</v>
      </c>
      <c r="K628" s="267">
        <f t="shared" si="102"/>
        <v>0</v>
      </c>
      <c r="L628" s="36">
        <f t="shared" si="104"/>
        <v>0</v>
      </c>
      <c r="M628" s="36">
        <f t="shared" si="104"/>
        <v>0</v>
      </c>
    </row>
    <row r="629" spans="1:13" s="276" customFormat="1" ht="14.25" hidden="1">
      <c r="A629" s="125" t="s">
        <v>399</v>
      </c>
      <c r="B629" s="266">
        <v>111</v>
      </c>
      <c r="C629" s="95" t="s">
        <v>52</v>
      </c>
      <c r="D629" s="67" t="s">
        <v>425</v>
      </c>
      <c r="E629" s="67" t="s">
        <v>329</v>
      </c>
      <c r="F629" s="67" t="s">
        <v>147</v>
      </c>
      <c r="G629" s="67" t="s">
        <v>150</v>
      </c>
      <c r="H629" s="67"/>
      <c r="I629" s="36"/>
      <c r="J629" s="36">
        <f>J630+J632</f>
        <v>0</v>
      </c>
      <c r="K629" s="36">
        <f>K630+K632</f>
        <v>0</v>
      </c>
      <c r="L629" s="36">
        <f>L630+L632</f>
        <v>0</v>
      </c>
      <c r="M629" s="36">
        <f>M630+M632</f>
        <v>0</v>
      </c>
    </row>
    <row r="630" spans="1:13" ht="30" hidden="1">
      <c r="A630" s="111" t="s">
        <v>464</v>
      </c>
      <c r="B630" s="270">
        <v>111</v>
      </c>
      <c r="C630" s="100" t="s">
        <v>52</v>
      </c>
      <c r="D630" s="99" t="s">
        <v>425</v>
      </c>
      <c r="E630" s="99" t="s">
        <v>329</v>
      </c>
      <c r="F630" s="99" t="s">
        <v>147</v>
      </c>
      <c r="G630" s="99" t="s">
        <v>465</v>
      </c>
      <c r="H630" s="99"/>
      <c r="I630" s="74"/>
      <c r="J630" s="74">
        <f>J631</f>
        <v>0</v>
      </c>
      <c r="K630" s="271">
        <f>J630-I630</f>
        <v>0</v>
      </c>
      <c r="L630" s="74">
        <f>L631</f>
        <v>0</v>
      </c>
      <c r="M630" s="74">
        <f>M631</f>
        <v>0</v>
      </c>
    </row>
    <row r="631" spans="1:13" ht="15" hidden="1">
      <c r="A631" s="112" t="s">
        <v>690</v>
      </c>
      <c r="B631" s="270">
        <v>111</v>
      </c>
      <c r="C631" s="100" t="s">
        <v>52</v>
      </c>
      <c r="D631" s="99" t="s">
        <v>425</v>
      </c>
      <c r="E631" s="99" t="s">
        <v>329</v>
      </c>
      <c r="F631" s="99" t="s">
        <v>147</v>
      </c>
      <c r="G631" s="99" t="s">
        <v>465</v>
      </c>
      <c r="H631" s="99" t="s">
        <v>691</v>
      </c>
      <c r="I631" s="74"/>
      <c r="J631" s="256"/>
      <c r="K631" s="271">
        <f>J631-I631</f>
        <v>0</v>
      </c>
      <c r="L631" s="74"/>
      <c r="M631" s="74"/>
    </row>
    <row r="632" spans="1:13" ht="15" hidden="1">
      <c r="A632" s="111" t="s">
        <v>446</v>
      </c>
      <c r="B632" s="270">
        <v>111</v>
      </c>
      <c r="C632" s="100" t="s">
        <v>52</v>
      </c>
      <c r="D632" s="99" t="s">
        <v>425</v>
      </c>
      <c r="E632" s="99" t="s">
        <v>329</v>
      </c>
      <c r="F632" s="99" t="s">
        <v>147</v>
      </c>
      <c r="G632" s="99" t="s">
        <v>447</v>
      </c>
      <c r="H632" s="99"/>
      <c r="I632" s="74"/>
      <c r="J632" s="74">
        <f>J633</f>
        <v>0</v>
      </c>
      <c r="K632" s="271">
        <f>J632-I632</f>
        <v>0</v>
      </c>
      <c r="L632" s="74">
        <f>L633</f>
        <v>0</v>
      </c>
      <c r="M632" s="74">
        <f>M633</f>
        <v>0</v>
      </c>
    </row>
    <row r="633" spans="1:13" ht="15" hidden="1">
      <c r="A633" s="111" t="s">
        <v>684</v>
      </c>
      <c r="B633" s="270">
        <v>111</v>
      </c>
      <c r="C633" s="100" t="s">
        <v>52</v>
      </c>
      <c r="D633" s="99" t="s">
        <v>425</v>
      </c>
      <c r="E633" s="99" t="s">
        <v>329</v>
      </c>
      <c r="F633" s="99" t="s">
        <v>147</v>
      </c>
      <c r="G633" s="99" t="s">
        <v>447</v>
      </c>
      <c r="H633" s="99" t="s">
        <v>685</v>
      </c>
      <c r="I633" s="74"/>
      <c r="J633" s="256"/>
      <c r="K633" s="271">
        <f>J633-I633</f>
        <v>0</v>
      </c>
      <c r="L633" s="74"/>
      <c r="M633" s="74"/>
    </row>
    <row r="634" spans="1:13" ht="28.5" hidden="1">
      <c r="A634" s="127" t="s">
        <v>53</v>
      </c>
      <c r="B634" s="266" t="s">
        <v>25</v>
      </c>
      <c r="C634" s="95" t="s">
        <v>54</v>
      </c>
      <c r="D634" s="67"/>
      <c r="E634" s="67"/>
      <c r="F634" s="67"/>
      <c r="G634" s="67"/>
      <c r="H634" s="67"/>
      <c r="I634" s="36"/>
      <c r="J634" s="36">
        <f>J635</f>
        <v>0</v>
      </c>
      <c r="K634" s="267">
        <f>J634-I634</f>
        <v>0</v>
      </c>
      <c r="L634" s="36">
        <f>L635</f>
        <v>0</v>
      </c>
      <c r="M634" s="36">
        <f>M635</f>
        <v>0</v>
      </c>
    </row>
    <row r="635" spans="1:13" ht="28.5" hidden="1">
      <c r="A635" s="127" t="s">
        <v>55</v>
      </c>
      <c r="B635" s="266" t="s">
        <v>25</v>
      </c>
      <c r="C635" s="95" t="s">
        <v>56</v>
      </c>
      <c r="D635" s="67"/>
      <c r="E635" s="67"/>
      <c r="F635" s="67"/>
      <c r="G635" s="67"/>
      <c r="H635" s="67"/>
      <c r="I635" s="36"/>
      <c r="J635" s="36">
        <f>J636</f>
        <v>0</v>
      </c>
      <c r="K635" s="36">
        <f>K636</f>
        <v>0</v>
      </c>
      <c r="L635" s="36">
        <f>L636</f>
        <v>0</v>
      </c>
      <c r="M635" s="36">
        <f>M636</f>
        <v>0</v>
      </c>
    </row>
    <row r="636" spans="1:13" s="276" customFormat="1" ht="14.25" hidden="1">
      <c r="A636" s="127" t="s">
        <v>424</v>
      </c>
      <c r="B636" s="266">
        <v>111</v>
      </c>
      <c r="C636" s="95" t="s">
        <v>56</v>
      </c>
      <c r="D636" s="67" t="s">
        <v>425</v>
      </c>
      <c r="E636" s="67" t="s">
        <v>148</v>
      </c>
      <c r="F636" s="67" t="s">
        <v>149</v>
      </c>
      <c r="G636" s="67" t="s">
        <v>150</v>
      </c>
      <c r="H636" s="67"/>
      <c r="I636" s="36"/>
      <c r="J636" s="36">
        <f aca="true" t="shared" si="105" ref="J636:M639">J637</f>
        <v>0</v>
      </c>
      <c r="K636" s="267">
        <f aca="true" t="shared" si="106" ref="K636:K648">J636-I636</f>
        <v>0</v>
      </c>
      <c r="L636" s="36">
        <f t="shared" si="105"/>
        <v>0</v>
      </c>
      <c r="M636" s="36">
        <f t="shared" si="105"/>
        <v>0</v>
      </c>
    </row>
    <row r="637" spans="1:13" s="276" customFormat="1" ht="14.25" hidden="1">
      <c r="A637" s="127" t="s">
        <v>399</v>
      </c>
      <c r="B637" s="266">
        <v>111</v>
      </c>
      <c r="C637" s="95" t="s">
        <v>56</v>
      </c>
      <c r="D637" s="67" t="s">
        <v>425</v>
      </c>
      <c r="E637" s="67" t="s">
        <v>329</v>
      </c>
      <c r="F637" s="67" t="s">
        <v>149</v>
      </c>
      <c r="G637" s="67" t="s">
        <v>150</v>
      </c>
      <c r="H637" s="67"/>
      <c r="I637" s="36"/>
      <c r="J637" s="36">
        <f t="shared" si="105"/>
        <v>0</v>
      </c>
      <c r="K637" s="267">
        <f t="shared" si="106"/>
        <v>0</v>
      </c>
      <c r="L637" s="36">
        <f t="shared" si="105"/>
        <v>0</v>
      </c>
      <c r="M637" s="36">
        <f t="shared" si="105"/>
        <v>0</v>
      </c>
    </row>
    <row r="638" spans="1:13" s="276" customFormat="1" ht="14.25" hidden="1">
      <c r="A638" s="124" t="s">
        <v>399</v>
      </c>
      <c r="B638" s="266">
        <v>111</v>
      </c>
      <c r="C638" s="95" t="s">
        <v>56</v>
      </c>
      <c r="D638" s="67" t="s">
        <v>425</v>
      </c>
      <c r="E638" s="67" t="s">
        <v>329</v>
      </c>
      <c r="F638" s="67" t="s">
        <v>147</v>
      </c>
      <c r="G638" s="67" t="s">
        <v>150</v>
      </c>
      <c r="H638" s="67"/>
      <c r="I638" s="36"/>
      <c r="J638" s="36">
        <f t="shared" si="105"/>
        <v>0</v>
      </c>
      <c r="K638" s="267">
        <f t="shared" si="106"/>
        <v>0</v>
      </c>
      <c r="L638" s="36">
        <f t="shared" si="105"/>
        <v>0</v>
      </c>
      <c r="M638" s="36">
        <f t="shared" si="105"/>
        <v>0</v>
      </c>
    </row>
    <row r="639" spans="1:13" s="276" customFormat="1" ht="45" hidden="1">
      <c r="A639" s="111" t="s">
        <v>739</v>
      </c>
      <c r="B639" s="270">
        <v>111</v>
      </c>
      <c r="C639" s="100" t="s">
        <v>56</v>
      </c>
      <c r="D639" s="99" t="s">
        <v>425</v>
      </c>
      <c r="E639" s="99" t="s">
        <v>329</v>
      </c>
      <c r="F639" s="99" t="s">
        <v>147</v>
      </c>
      <c r="G639" s="99" t="s">
        <v>738</v>
      </c>
      <c r="H639" s="99"/>
      <c r="I639" s="74"/>
      <c r="J639" s="74">
        <f t="shared" si="105"/>
        <v>0</v>
      </c>
      <c r="K639" s="271">
        <f t="shared" si="106"/>
        <v>0</v>
      </c>
      <c r="L639" s="74">
        <f t="shared" si="105"/>
        <v>0</v>
      </c>
      <c r="M639" s="74">
        <f t="shared" si="105"/>
        <v>0</v>
      </c>
    </row>
    <row r="640" spans="1:13" s="276" customFormat="1" ht="20.25" customHeight="1" hidden="1">
      <c r="A640" s="112" t="s">
        <v>690</v>
      </c>
      <c r="B640" s="270">
        <v>111</v>
      </c>
      <c r="C640" s="100" t="s">
        <v>56</v>
      </c>
      <c r="D640" s="99" t="s">
        <v>425</v>
      </c>
      <c r="E640" s="99" t="s">
        <v>329</v>
      </c>
      <c r="F640" s="99" t="s">
        <v>147</v>
      </c>
      <c r="G640" s="99" t="s">
        <v>738</v>
      </c>
      <c r="H640" s="99" t="s">
        <v>691</v>
      </c>
      <c r="I640" s="74"/>
      <c r="J640" s="74"/>
      <c r="K640" s="271">
        <f t="shared" si="106"/>
        <v>0</v>
      </c>
      <c r="L640" s="74"/>
      <c r="M640" s="74"/>
    </row>
    <row r="641" spans="1:13" ht="18" customHeight="1">
      <c r="A641" s="127" t="s">
        <v>57</v>
      </c>
      <c r="B641" s="266">
        <v>111</v>
      </c>
      <c r="C641" s="95" t="s">
        <v>58</v>
      </c>
      <c r="D641" s="67"/>
      <c r="E641" s="67"/>
      <c r="F641" s="67"/>
      <c r="G641" s="67"/>
      <c r="H641" s="67"/>
      <c r="I641" s="36">
        <f>I642+I652</f>
        <v>7712.9</v>
      </c>
      <c r="J641" s="36">
        <f>J642+J652</f>
        <v>7712.9</v>
      </c>
      <c r="K641" s="267">
        <f t="shared" si="106"/>
        <v>0</v>
      </c>
      <c r="L641" s="36">
        <f>L642+L652</f>
        <v>0</v>
      </c>
      <c r="M641" s="36">
        <f>M642+M652</f>
        <v>0</v>
      </c>
    </row>
    <row r="642" spans="1:13" ht="18.75" customHeight="1">
      <c r="A642" s="127" t="s">
        <v>63</v>
      </c>
      <c r="B642" s="266">
        <v>111</v>
      </c>
      <c r="C642" s="95" t="s">
        <v>64</v>
      </c>
      <c r="D642" s="67"/>
      <c r="E642" s="67"/>
      <c r="F642" s="67"/>
      <c r="G642" s="67"/>
      <c r="H642" s="67"/>
      <c r="I642" s="36">
        <f aca="true" t="shared" si="107" ref="I642:J644">I643</f>
        <v>7712.9</v>
      </c>
      <c r="J642" s="36">
        <f t="shared" si="107"/>
        <v>7712.9</v>
      </c>
      <c r="K642" s="267">
        <f t="shared" si="106"/>
        <v>0</v>
      </c>
      <c r="L642" s="36">
        <f aca="true" t="shared" si="108" ref="L642:M644">L643</f>
        <v>0</v>
      </c>
      <c r="M642" s="36">
        <f t="shared" si="108"/>
        <v>0</v>
      </c>
    </row>
    <row r="643" spans="1:13" ht="20.25" customHeight="1">
      <c r="A643" s="127" t="s">
        <v>424</v>
      </c>
      <c r="B643" s="266">
        <v>111</v>
      </c>
      <c r="C643" s="95" t="s">
        <v>64</v>
      </c>
      <c r="D643" s="67" t="s">
        <v>425</v>
      </c>
      <c r="E643" s="67" t="s">
        <v>148</v>
      </c>
      <c r="F643" s="67" t="s">
        <v>149</v>
      </c>
      <c r="G643" s="67" t="s">
        <v>150</v>
      </c>
      <c r="H643" s="67"/>
      <c r="I643" s="36">
        <f t="shared" si="107"/>
        <v>7712.9</v>
      </c>
      <c r="J643" s="36">
        <f t="shared" si="107"/>
        <v>7712.9</v>
      </c>
      <c r="K643" s="267">
        <f t="shared" si="106"/>
        <v>0</v>
      </c>
      <c r="L643" s="36">
        <f t="shared" si="108"/>
        <v>0</v>
      </c>
      <c r="M643" s="36">
        <f t="shared" si="108"/>
        <v>0</v>
      </c>
    </row>
    <row r="644" spans="1:13" ht="21" customHeight="1">
      <c r="A644" s="127" t="s">
        <v>399</v>
      </c>
      <c r="B644" s="266">
        <v>111</v>
      </c>
      <c r="C644" s="95" t="s">
        <v>64</v>
      </c>
      <c r="D644" s="67" t="s">
        <v>425</v>
      </c>
      <c r="E644" s="67" t="s">
        <v>329</v>
      </c>
      <c r="F644" s="67" t="s">
        <v>149</v>
      </c>
      <c r="G644" s="67" t="s">
        <v>150</v>
      </c>
      <c r="H644" s="67"/>
      <c r="I644" s="36">
        <f t="shared" si="107"/>
        <v>7712.9</v>
      </c>
      <c r="J644" s="36">
        <f t="shared" si="107"/>
        <v>7712.9</v>
      </c>
      <c r="K644" s="267">
        <f t="shared" si="106"/>
        <v>0</v>
      </c>
      <c r="L644" s="36">
        <f t="shared" si="108"/>
        <v>0</v>
      </c>
      <c r="M644" s="36">
        <f t="shared" si="108"/>
        <v>0</v>
      </c>
    </row>
    <row r="645" spans="1:13" s="276" customFormat="1" ht="22.5" customHeight="1">
      <c r="A645" s="124" t="s">
        <v>399</v>
      </c>
      <c r="B645" s="266">
        <v>111</v>
      </c>
      <c r="C645" s="95" t="s">
        <v>64</v>
      </c>
      <c r="D645" s="67" t="s">
        <v>425</v>
      </c>
      <c r="E645" s="67" t="s">
        <v>329</v>
      </c>
      <c r="F645" s="67" t="s">
        <v>147</v>
      </c>
      <c r="G645" s="67" t="s">
        <v>150</v>
      </c>
      <c r="H645" s="67"/>
      <c r="I645" s="36">
        <f>I650+I648+I646</f>
        <v>7712.9</v>
      </c>
      <c r="J645" s="36">
        <f>J650+J648+J646</f>
        <v>7712.9</v>
      </c>
      <c r="K645" s="267">
        <f t="shared" si="106"/>
        <v>0</v>
      </c>
      <c r="L645" s="36">
        <f>L650+L648</f>
        <v>0</v>
      </c>
      <c r="M645" s="36">
        <f>M650+M648</f>
        <v>0</v>
      </c>
    </row>
    <row r="646" spans="1:13" ht="48.75" customHeight="1">
      <c r="A646" s="115" t="s">
        <v>1084</v>
      </c>
      <c r="B646" s="270">
        <v>111</v>
      </c>
      <c r="C646" s="100" t="s">
        <v>64</v>
      </c>
      <c r="D646" s="99" t="s">
        <v>425</v>
      </c>
      <c r="E646" s="99" t="s">
        <v>329</v>
      </c>
      <c r="F646" s="99" t="s">
        <v>147</v>
      </c>
      <c r="G646" s="99" t="s">
        <v>1085</v>
      </c>
      <c r="H646" s="99"/>
      <c r="I646" s="74">
        <f>I647</f>
        <v>7712.9</v>
      </c>
      <c r="J646" s="74">
        <f>J647</f>
        <v>7712.9</v>
      </c>
      <c r="K646" s="271">
        <f t="shared" si="106"/>
        <v>0</v>
      </c>
      <c r="L646" s="74">
        <f>L647</f>
        <v>0</v>
      </c>
      <c r="M646" s="74">
        <f>M647</f>
        <v>0</v>
      </c>
    </row>
    <row r="647" spans="1:13" s="276" customFormat="1" ht="22.5" customHeight="1">
      <c r="A647" s="112" t="s">
        <v>690</v>
      </c>
      <c r="B647" s="270">
        <v>111</v>
      </c>
      <c r="C647" s="100" t="s">
        <v>64</v>
      </c>
      <c r="D647" s="99" t="s">
        <v>425</v>
      </c>
      <c r="E647" s="99" t="s">
        <v>329</v>
      </c>
      <c r="F647" s="99" t="s">
        <v>147</v>
      </c>
      <c r="G647" s="99" t="s">
        <v>1085</v>
      </c>
      <c r="H647" s="99" t="s">
        <v>691</v>
      </c>
      <c r="I647" s="74">
        <v>7712.9</v>
      </c>
      <c r="J647" s="74">
        <v>7712.9</v>
      </c>
      <c r="K647" s="271">
        <f t="shared" si="106"/>
        <v>0</v>
      </c>
      <c r="L647" s="74"/>
      <c r="M647" s="74"/>
    </row>
    <row r="648" spans="1:13" s="276" customFormat="1" ht="22.5" customHeight="1" hidden="1">
      <c r="A648" s="115" t="s">
        <v>739</v>
      </c>
      <c r="B648" s="270">
        <v>111</v>
      </c>
      <c r="C648" s="100" t="s">
        <v>64</v>
      </c>
      <c r="D648" s="99" t="s">
        <v>425</v>
      </c>
      <c r="E648" s="99" t="s">
        <v>329</v>
      </c>
      <c r="F648" s="99" t="s">
        <v>147</v>
      </c>
      <c r="G648" s="99" t="s">
        <v>738</v>
      </c>
      <c r="H648" s="99"/>
      <c r="I648" s="74"/>
      <c r="J648" s="74">
        <f>J649</f>
        <v>0</v>
      </c>
      <c r="K648" s="271">
        <f t="shared" si="106"/>
        <v>0</v>
      </c>
      <c r="L648" s="74">
        <f>L649</f>
        <v>0</v>
      </c>
      <c r="M648" s="74">
        <f>M649</f>
        <v>0</v>
      </c>
    </row>
    <row r="649" spans="1:13" s="276" customFormat="1" ht="22.5" customHeight="1" hidden="1">
      <c r="A649" s="112" t="s">
        <v>690</v>
      </c>
      <c r="B649" s="270">
        <v>111</v>
      </c>
      <c r="C649" s="100" t="s">
        <v>64</v>
      </c>
      <c r="D649" s="99" t="s">
        <v>425</v>
      </c>
      <c r="E649" s="99" t="s">
        <v>329</v>
      </c>
      <c r="F649" s="99" t="s">
        <v>147</v>
      </c>
      <c r="G649" s="99" t="s">
        <v>738</v>
      </c>
      <c r="H649" s="99" t="s">
        <v>691</v>
      </c>
      <c r="I649" s="74"/>
      <c r="J649" s="74"/>
      <c r="K649" s="271"/>
      <c r="L649" s="74"/>
      <c r="M649" s="74"/>
    </row>
    <row r="650" spans="1:13" ht="22.5" customHeight="1" hidden="1">
      <c r="A650" s="111" t="s">
        <v>464</v>
      </c>
      <c r="B650" s="270">
        <v>111</v>
      </c>
      <c r="C650" s="100" t="s">
        <v>64</v>
      </c>
      <c r="D650" s="99" t="s">
        <v>425</v>
      </c>
      <c r="E650" s="99" t="s">
        <v>329</v>
      </c>
      <c r="F650" s="99" t="s">
        <v>147</v>
      </c>
      <c r="G650" s="99" t="s">
        <v>465</v>
      </c>
      <c r="H650" s="99"/>
      <c r="I650" s="74"/>
      <c r="J650" s="74">
        <f>J651</f>
        <v>0</v>
      </c>
      <c r="K650" s="271">
        <f aca="true" t="shared" si="109" ref="K650:K657">J650-I650</f>
        <v>0</v>
      </c>
      <c r="L650" s="74">
        <f>L651</f>
        <v>0</v>
      </c>
      <c r="M650" s="74">
        <f>M651</f>
        <v>0</v>
      </c>
    </row>
    <row r="651" spans="1:13" ht="20.25" customHeight="1" hidden="1">
      <c r="A651" s="112" t="s">
        <v>690</v>
      </c>
      <c r="B651" s="270">
        <v>111</v>
      </c>
      <c r="C651" s="100" t="s">
        <v>64</v>
      </c>
      <c r="D651" s="99" t="s">
        <v>425</v>
      </c>
      <c r="E651" s="99" t="s">
        <v>329</v>
      </c>
      <c r="F651" s="99" t="s">
        <v>147</v>
      </c>
      <c r="G651" s="99" t="s">
        <v>465</v>
      </c>
      <c r="H651" s="99" t="s">
        <v>691</v>
      </c>
      <c r="I651" s="74"/>
      <c r="J651" s="120"/>
      <c r="K651" s="271">
        <f t="shared" si="109"/>
        <v>0</v>
      </c>
      <c r="L651" s="74"/>
      <c r="M651" s="74"/>
    </row>
    <row r="652" spans="1:13" s="268" customFormat="1" ht="20.25" customHeight="1" hidden="1">
      <c r="A652" s="87" t="s">
        <v>67</v>
      </c>
      <c r="B652" s="266">
        <v>111</v>
      </c>
      <c r="C652" s="95" t="s">
        <v>68</v>
      </c>
      <c r="D652" s="67"/>
      <c r="E652" s="67"/>
      <c r="F652" s="67"/>
      <c r="G652" s="67"/>
      <c r="H652" s="67"/>
      <c r="I652" s="36"/>
      <c r="J652" s="36">
        <f aca="true" t="shared" si="110" ref="J652:M656">J653</f>
        <v>0</v>
      </c>
      <c r="K652" s="267">
        <f t="shared" si="109"/>
        <v>0</v>
      </c>
      <c r="L652" s="36">
        <f t="shared" si="110"/>
        <v>0</v>
      </c>
      <c r="M652" s="36">
        <f t="shared" si="110"/>
        <v>0</v>
      </c>
    </row>
    <row r="653" spans="1:13" s="268" customFormat="1" ht="26.25" customHeight="1" hidden="1">
      <c r="A653" s="127" t="s">
        <v>424</v>
      </c>
      <c r="B653" s="266">
        <v>111</v>
      </c>
      <c r="C653" s="95" t="s">
        <v>68</v>
      </c>
      <c r="D653" s="67" t="s">
        <v>425</v>
      </c>
      <c r="E653" s="67" t="s">
        <v>148</v>
      </c>
      <c r="F653" s="67" t="s">
        <v>149</v>
      </c>
      <c r="G653" s="67" t="s">
        <v>150</v>
      </c>
      <c r="H653" s="67"/>
      <c r="I653" s="36"/>
      <c r="J653" s="36">
        <f t="shared" si="110"/>
        <v>0</v>
      </c>
      <c r="K653" s="267">
        <f t="shared" si="109"/>
        <v>0</v>
      </c>
      <c r="L653" s="36">
        <f t="shared" si="110"/>
        <v>0</v>
      </c>
      <c r="M653" s="36">
        <f t="shared" si="110"/>
        <v>0</v>
      </c>
    </row>
    <row r="654" spans="1:13" s="268" customFormat="1" ht="19.5" customHeight="1" hidden="1">
      <c r="A654" s="127" t="s">
        <v>399</v>
      </c>
      <c r="B654" s="266">
        <v>111</v>
      </c>
      <c r="C654" s="95" t="s">
        <v>68</v>
      </c>
      <c r="D654" s="67" t="s">
        <v>425</v>
      </c>
      <c r="E654" s="67" t="s">
        <v>329</v>
      </c>
      <c r="F654" s="67" t="s">
        <v>149</v>
      </c>
      <c r="G654" s="67" t="s">
        <v>150</v>
      </c>
      <c r="H654" s="67"/>
      <c r="I654" s="36"/>
      <c r="J654" s="36">
        <f t="shared" si="110"/>
        <v>0</v>
      </c>
      <c r="K654" s="267">
        <f t="shared" si="109"/>
        <v>0</v>
      </c>
      <c r="L654" s="36">
        <f t="shared" si="110"/>
        <v>0</v>
      </c>
      <c r="M654" s="36">
        <f t="shared" si="110"/>
        <v>0</v>
      </c>
    </row>
    <row r="655" spans="1:13" s="268" customFormat="1" ht="26.25" customHeight="1" hidden="1">
      <c r="A655" s="124" t="s">
        <v>399</v>
      </c>
      <c r="B655" s="266">
        <v>111</v>
      </c>
      <c r="C655" s="95" t="s">
        <v>68</v>
      </c>
      <c r="D655" s="67" t="s">
        <v>425</v>
      </c>
      <c r="E655" s="67" t="s">
        <v>329</v>
      </c>
      <c r="F655" s="67" t="s">
        <v>147</v>
      </c>
      <c r="G655" s="67" t="s">
        <v>150</v>
      </c>
      <c r="H655" s="67"/>
      <c r="I655" s="36"/>
      <c r="J655" s="36">
        <f t="shared" si="110"/>
        <v>0</v>
      </c>
      <c r="K655" s="267">
        <f t="shared" si="109"/>
        <v>0</v>
      </c>
      <c r="L655" s="36">
        <f t="shared" si="110"/>
        <v>0</v>
      </c>
      <c r="M655" s="36">
        <f t="shared" si="110"/>
        <v>0</v>
      </c>
    </row>
    <row r="656" spans="1:13" s="268" customFormat="1" ht="24.75" customHeight="1" hidden="1">
      <c r="A656" s="109" t="s">
        <v>630</v>
      </c>
      <c r="B656" s="270">
        <v>111</v>
      </c>
      <c r="C656" s="100" t="s">
        <v>68</v>
      </c>
      <c r="D656" s="99" t="s">
        <v>425</v>
      </c>
      <c r="E656" s="99" t="s">
        <v>329</v>
      </c>
      <c r="F656" s="99" t="s">
        <v>147</v>
      </c>
      <c r="G656" s="99" t="s">
        <v>629</v>
      </c>
      <c r="H656" s="99"/>
      <c r="I656" s="74"/>
      <c r="J656" s="74">
        <f t="shared" si="110"/>
        <v>0</v>
      </c>
      <c r="K656" s="271">
        <f t="shared" si="109"/>
        <v>0</v>
      </c>
      <c r="L656" s="74">
        <f t="shared" si="110"/>
        <v>0</v>
      </c>
      <c r="M656" s="74">
        <f t="shared" si="110"/>
        <v>0</v>
      </c>
    </row>
    <row r="657" spans="1:13" s="268" customFormat="1" ht="18.75" customHeight="1" hidden="1">
      <c r="A657" s="112" t="s">
        <v>690</v>
      </c>
      <c r="B657" s="270">
        <v>111</v>
      </c>
      <c r="C657" s="100" t="s">
        <v>68</v>
      </c>
      <c r="D657" s="99" t="s">
        <v>425</v>
      </c>
      <c r="E657" s="99" t="s">
        <v>329</v>
      </c>
      <c r="F657" s="99" t="s">
        <v>147</v>
      </c>
      <c r="G657" s="99" t="s">
        <v>629</v>
      </c>
      <c r="H657" s="99" t="s">
        <v>691</v>
      </c>
      <c r="I657" s="131"/>
      <c r="J657" s="131"/>
      <c r="K657" s="271">
        <f t="shared" si="109"/>
        <v>0</v>
      </c>
      <c r="L657" s="74"/>
      <c r="M657" s="74"/>
    </row>
    <row r="658" spans="1:13" s="268" customFormat="1" ht="18.75" customHeight="1" hidden="1">
      <c r="A658" s="127" t="s">
        <v>489</v>
      </c>
      <c r="B658" s="266" t="s">
        <v>25</v>
      </c>
      <c r="C658" s="95" t="s">
        <v>70</v>
      </c>
      <c r="D658" s="67"/>
      <c r="E658" s="67"/>
      <c r="F658" s="67"/>
      <c r="G658" s="67"/>
      <c r="H658" s="67"/>
      <c r="I658" s="36"/>
      <c r="J658" s="36">
        <f>J659+J665</f>
        <v>0</v>
      </c>
      <c r="K658" s="36">
        <f>K659+K665</f>
        <v>0</v>
      </c>
      <c r="L658" s="36">
        <f>L659+L665</f>
        <v>0</v>
      </c>
      <c r="M658" s="36">
        <f>M659+M665</f>
        <v>0</v>
      </c>
    </row>
    <row r="659" spans="1:13" s="268" customFormat="1" ht="24.75" customHeight="1" hidden="1">
      <c r="A659" s="127" t="s">
        <v>73</v>
      </c>
      <c r="B659" s="266" t="s">
        <v>25</v>
      </c>
      <c r="C659" s="95" t="s">
        <v>74</v>
      </c>
      <c r="D659" s="67"/>
      <c r="E659" s="67"/>
      <c r="F659" s="67"/>
      <c r="G659" s="67"/>
      <c r="H659" s="67"/>
      <c r="I659" s="36"/>
      <c r="J659" s="36">
        <f>J660</f>
        <v>0</v>
      </c>
      <c r="K659" s="36">
        <f>K660</f>
        <v>0</v>
      </c>
      <c r="L659" s="36">
        <f>L660</f>
        <v>0</v>
      </c>
      <c r="M659" s="36">
        <f>M660</f>
        <v>0</v>
      </c>
    </row>
    <row r="660" spans="1:13" ht="24.75" customHeight="1" hidden="1">
      <c r="A660" s="127" t="s">
        <v>424</v>
      </c>
      <c r="B660" s="266">
        <v>111</v>
      </c>
      <c r="C660" s="95" t="s">
        <v>74</v>
      </c>
      <c r="D660" s="67" t="s">
        <v>425</v>
      </c>
      <c r="E660" s="67" t="s">
        <v>148</v>
      </c>
      <c r="F660" s="67" t="s">
        <v>149</v>
      </c>
      <c r="G660" s="67" t="s">
        <v>150</v>
      </c>
      <c r="H660" s="67"/>
      <c r="I660" s="36"/>
      <c r="J660" s="36">
        <f aca="true" t="shared" si="111" ref="J660:M662">J661</f>
        <v>0</v>
      </c>
      <c r="K660" s="267">
        <f>J660-I660</f>
        <v>0</v>
      </c>
      <c r="L660" s="36">
        <f t="shared" si="111"/>
        <v>0</v>
      </c>
      <c r="M660" s="36">
        <f t="shared" si="111"/>
        <v>0</v>
      </c>
    </row>
    <row r="661" spans="1:13" ht="26.25" customHeight="1" hidden="1">
      <c r="A661" s="124" t="s">
        <v>399</v>
      </c>
      <c r="B661" s="266">
        <v>111</v>
      </c>
      <c r="C661" s="95" t="s">
        <v>74</v>
      </c>
      <c r="D661" s="67" t="s">
        <v>425</v>
      </c>
      <c r="E661" s="67" t="s">
        <v>329</v>
      </c>
      <c r="F661" s="67" t="s">
        <v>149</v>
      </c>
      <c r="G661" s="67" t="s">
        <v>150</v>
      </c>
      <c r="H661" s="67"/>
      <c r="I661" s="36"/>
      <c r="J661" s="36">
        <f t="shared" si="111"/>
        <v>0</v>
      </c>
      <c r="K661" s="267">
        <f>J661-I661</f>
        <v>0</v>
      </c>
      <c r="L661" s="36">
        <f t="shared" si="111"/>
        <v>0</v>
      </c>
      <c r="M661" s="36">
        <f t="shared" si="111"/>
        <v>0</v>
      </c>
    </row>
    <row r="662" spans="1:13" s="276" customFormat="1" ht="23.25" customHeight="1" hidden="1">
      <c r="A662" s="127" t="s">
        <v>399</v>
      </c>
      <c r="B662" s="266">
        <v>111</v>
      </c>
      <c r="C662" s="95" t="s">
        <v>74</v>
      </c>
      <c r="D662" s="67" t="s">
        <v>425</v>
      </c>
      <c r="E662" s="67" t="s">
        <v>329</v>
      </c>
      <c r="F662" s="67" t="s">
        <v>147</v>
      </c>
      <c r="G662" s="67" t="s">
        <v>150</v>
      </c>
      <c r="H662" s="67"/>
      <c r="I662" s="36"/>
      <c r="J662" s="36">
        <f>J663</f>
        <v>0</v>
      </c>
      <c r="K662" s="36">
        <f>K663</f>
        <v>0</v>
      </c>
      <c r="L662" s="36">
        <f t="shared" si="111"/>
        <v>0</v>
      </c>
      <c r="M662" s="36">
        <f t="shared" si="111"/>
        <v>0</v>
      </c>
    </row>
    <row r="663" spans="1:13" ht="24" customHeight="1" hidden="1">
      <c r="A663" s="111" t="s">
        <v>739</v>
      </c>
      <c r="B663" s="270">
        <v>111</v>
      </c>
      <c r="C663" s="100" t="s">
        <v>74</v>
      </c>
      <c r="D663" s="99" t="s">
        <v>425</v>
      </c>
      <c r="E663" s="99" t="s">
        <v>329</v>
      </c>
      <c r="F663" s="99" t="s">
        <v>147</v>
      </c>
      <c r="G663" s="99" t="s">
        <v>738</v>
      </c>
      <c r="H663" s="99"/>
      <c r="I663" s="74"/>
      <c r="J663" s="74">
        <f>J664</f>
        <v>0</v>
      </c>
      <c r="K663" s="271">
        <f>J663-I663</f>
        <v>0</v>
      </c>
      <c r="L663" s="74">
        <f>L664</f>
        <v>0</v>
      </c>
      <c r="M663" s="74">
        <f>M664</f>
        <v>0</v>
      </c>
    </row>
    <row r="664" spans="1:13" ht="21.75" customHeight="1" hidden="1">
      <c r="A664" s="112" t="s">
        <v>690</v>
      </c>
      <c r="B664" s="270">
        <v>111</v>
      </c>
      <c r="C664" s="100" t="s">
        <v>74</v>
      </c>
      <c r="D664" s="99" t="s">
        <v>425</v>
      </c>
      <c r="E664" s="99" t="s">
        <v>329</v>
      </c>
      <c r="F664" s="99" t="s">
        <v>147</v>
      </c>
      <c r="G664" s="99" t="s">
        <v>738</v>
      </c>
      <c r="H664" s="99" t="s">
        <v>691</v>
      </c>
      <c r="I664" s="74"/>
      <c r="J664" s="131"/>
      <c r="K664" s="271">
        <f>J664-I664</f>
        <v>0</v>
      </c>
      <c r="L664" s="74"/>
      <c r="M664" s="74"/>
    </row>
    <row r="665" spans="1:13" s="268" customFormat="1" ht="23.25" customHeight="1" hidden="1">
      <c r="A665" s="125" t="s">
        <v>75</v>
      </c>
      <c r="B665" s="266">
        <v>111</v>
      </c>
      <c r="C665" s="95" t="s">
        <v>76</v>
      </c>
      <c r="D665" s="67"/>
      <c r="E665" s="67"/>
      <c r="F665" s="67"/>
      <c r="G665" s="67"/>
      <c r="H665" s="67"/>
      <c r="I665" s="36"/>
      <c r="J665" s="36"/>
      <c r="K665" s="267">
        <f>J665-I665</f>
        <v>0</v>
      </c>
      <c r="L665" s="36"/>
      <c r="M665" s="36"/>
    </row>
    <row r="666" spans="1:13" s="276" customFormat="1" ht="23.25" customHeight="1" hidden="1">
      <c r="A666" s="127" t="s">
        <v>424</v>
      </c>
      <c r="B666" s="266">
        <v>111</v>
      </c>
      <c r="C666" s="95" t="s">
        <v>76</v>
      </c>
      <c r="D666" s="67" t="s">
        <v>425</v>
      </c>
      <c r="E666" s="67" t="s">
        <v>148</v>
      </c>
      <c r="F666" s="67" t="s">
        <v>149</v>
      </c>
      <c r="G666" s="67" t="s">
        <v>150</v>
      </c>
      <c r="H666" s="67"/>
      <c r="I666" s="36"/>
      <c r="J666" s="36">
        <f aca="true" t="shared" si="112" ref="J666:M667">J667</f>
        <v>0</v>
      </c>
      <c r="K666" s="267">
        <f>J666-I666</f>
        <v>0</v>
      </c>
      <c r="L666" s="36">
        <f t="shared" si="112"/>
        <v>0</v>
      </c>
      <c r="M666" s="36">
        <f t="shared" si="112"/>
        <v>0</v>
      </c>
    </row>
    <row r="667" spans="1:13" s="276" customFormat="1" ht="25.5" customHeight="1" hidden="1">
      <c r="A667" s="127" t="s">
        <v>399</v>
      </c>
      <c r="B667" s="266">
        <v>111</v>
      </c>
      <c r="C667" s="95" t="s">
        <v>76</v>
      </c>
      <c r="D667" s="67" t="s">
        <v>425</v>
      </c>
      <c r="E667" s="67" t="s">
        <v>329</v>
      </c>
      <c r="F667" s="67" t="s">
        <v>149</v>
      </c>
      <c r="G667" s="67" t="s">
        <v>150</v>
      </c>
      <c r="H667" s="67"/>
      <c r="I667" s="36"/>
      <c r="J667" s="36">
        <f t="shared" si="112"/>
        <v>0</v>
      </c>
      <c r="K667" s="267">
        <f>J667-I667</f>
        <v>0</v>
      </c>
      <c r="L667" s="36">
        <f t="shared" si="112"/>
        <v>0</v>
      </c>
      <c r="M667" s="36">
        <f t="shared" si="112"/>
        <v>0</v>
      </c>
    </row>
    <row r="668" spans="1:13" s="276" customFormat="1" ht="17.25" customHeight="1" hidden="1">
      <c r="A668" s="124" t="s">
        <v>399</v>
      </c>
      <c r="B668" s="266">
        <v>111</v>
      </c>
      <c r="C668" s="95" t="s">
        <v>76</v>
      </c>
      <c r="D668" s="67" t="s">
        <v>425</v>
      </c>
      <c r="E668" s="67" t="s">
        <v>329</v>
      </c>
      <c r="F668" s="67" t="s">
        <v>147</v>
      </c>
      <c r="G668" s="67" t="s">
        <v>150</v>
      </c>
      <c r="H668" s="67"/>
      <c r="I668" s="36"/>
      <c r="J668" s="36">
        <f>J671+J673+J669</f>
        <v>0</v>
      </c>
      <c r="K668" s="36">
        <f>K671+K673+K669</f>
        <v>0</v>
      </c>
      <c r="L668" s="36">
        <f>L671+L673+L361+L669</f>
        <v>0</v>
      </c>
      <c r="M668" s="36">
        <f>M671+M673+M361+M669</f>
        <v>0</v>
      </c>
    </row>
    <row r="669" spans="1:13" s="305" customFormat="1" ht="18.75" customHeight="1" hidden="1">
      <c r="A669" s="300" t="s">
        <v>739</v>
      </c>
      <c r="B669" s="301">
        <v>111</v>
      </c>
      <c r="C669" s="100" t="s">
        <v>76</v>
      </c>
      <c r="D669" s="302" t="s">
        <v>425</v>
      </c>
      <c r="E669" s="302" t="s">
        <v>329</v>
      </c>
      <c r="F669" s="302" t="s">
        <v>147</v>
      </c>
      <c r="G669" s="302" t="s">
        <v>738</v>
      </c>
      <c r="H669" s="302"/>
      <c r="I669" s="303"/>
      <c r="J669" s="303">
        <f>J670</f>
        <v>0</v>
      </c>
      <c r="K669" s="304">
        <f aca="true" t="shared" si="113" ref="K669:K675">J669-I669</f>
        <v>0</v>
      </c>
      <c r="L669" s="303">
        <f>L670</f>
        <v>0</v>
      </c>
      <c r="M669" s="303">
        <f>M670</f>
        <v>0</v>
      </c>
    </row>
    <row r="670" spans="1:13" s="305" customFormat="1" ht="18.75" customHeight="1" hidden="1">
      <c r="A670" s="306" t="s">
        <v>690</v>
      </c>
      <c r="B670" s="301">
        <v>111</v>
      </c>
      <c r="C670" s="100" t="s">
        <v>76</v>
      </c>
      <c r="D670" s="302" t="s">
        <v>425</v>
      </c>
      <c r="E670" s="302" t="s">
        <v>329</v>
      </c>
      <c r="F670" s="302" t="s">
        <v>147</v>
      </c>
      <c r="G670" s="302" t="s">
        <v>738</v>
      </c>
      <c r="H670" s="302" t="s">
        <v>691</v>
      </c>
      <c r="I670" s="303"/>
      <c r="J670" s="303"/>
      <c r="K670" s="304">
        <f t="shared" si="113"/>
        <v>0</v>
      </c>
      <c r="L670" s="303"/>
      <c r="M670" s="303"/>
    </row>
    <row r="671" spans="1:13" ht="20.25" customHeight="1" hidden="1">
      <c r="A671" s="111" t="s">
        <v>464</v>
      </c>
      <c r="B671" s="270">
        <v>111</v>
      </c>
      <c r="C671" s="100" t="s">
        <v>76</v>
      </c>
      <c r="D671" s="99" t="s">
        <v>425</v>
      </c>
      <c r="E671" s="99" t="s">
        <v>329</v>
      </c>
      <c r="F671" s="99" t="s">
        <v>147</v>
      </c>
      <c r="G671" s="99" t="s">
        <v>465</v>
      </c>
      <c r="H671" s="99"/>
      <c r="I671" s="74"/>
      <c r="J671" s="74">
        <f>J672</f>
        <v>0</v>
      </c>
      <c r="K671" s="271">
        <f t="shared" si="113"/>
        <v>0</v>
      </c>
      <c r="L671" s="74">
        <f>L672</f>
        <v>0</v>
      </c>
      <c r="M671" s="74">
        <f>M672</f>
        <v>0</v>
      </c>
    </row>
    <row r="672" spans="1:13" ht="21.75" customHeight="1" hidden="1">
      <c r="A672" s="112" t="s">
        <v>690</v>
      </c>
      <c r="B672" s="270">
        <v>111</v>
      </c>
      <c r="C672" s="100" t="s">
        <v>76</v>
      </c>
      <c r="D672" s="99" t="s">
        <v>425</v>
      </c>
      <c r="E672" s="99" t="s">
        <v>329</v>
      </c>
      <c r="F672" s="99" t="s">
        <v>147</v>
      </c>
      <c r="G672" s="99" t="s">
        <v>465</v>
      </c>
      <c r="H672" s="99" t="s">
        <v>691</v>
      </c>
      <c r="I672" s="74"/>
      <c r="J672" s="256"/>
      <c r="K672" s="271">
        <f t="shared" si="113"/>
        <v>0</v>
      </c>
      <c r="L672" s="74"/>
      <c r="M672" s="74"/>
    </row>
    <row r="673" spans="1:13" ht="18" customHeight="1" hidden="1">
      <c r="A673" s="112" t="s">
        <v>631</v>
      </c>
      <c r="B673" s="270">
        <v>111</v>
      </c>
      <c r="C673" s="100" t="s">
        <v>76</v>
      </c>
      <c r="D673" s="99" t="s">
        <v>426</v>
      </c>
      <c r="E673" s="99" t="s">
        <v>329</v>
      </c>
      <c r="F673" s="99" t="s">
        <v>147</v>
      </c>
      <c r="G673" s="99" t="s">
        <v>634</v>
      </c>
      <c r="H673" s="99"/>
      <c r="I673" s="74"/>
      <c r="J673" s="74">
        <f>J674</f>
        <v>0</v>
      </c>
      <c r="K673" s="271">
        <f t="shared" si="113"/>
        <v>0</v>
      </c>
      <c r="L673" s="74">
        <f>L674</f>
        <v>0</v>
      </c>
      <c r="M673" s="74">
        <f>M674</f>
        <v>0</v>
      </c>
    </row>
    <row r="674" spans="1:13" ht="28.5" customHeight="1" hidden="1">
      <c r="A674" s="112" t="s">
        <v>690</v>
      </c>
      <c r="B674" s="270">
        <v>111</v>
      </c>
      <c r="C674" s="100" t="s">
        <v>76</v>
      </c>
      <c r="D674" s="99" t="s">
        <v>426</v>
      </c>
      <c r="E674" s="99" t="s">
        <v>329</v>
      </c>
      <c r="F674" s="99" t="s">
        <v>147</v>
      </c>
      <c r="G674" s="99" t="s">
        <v>634</v>
      </c>
      <c r="H674" s="99" t="s">
        <v>691</v>
      </c>
      <c r="I674" s="74"/>
      <c r="J674" s="256"/>
      <c r="K674" s="271">
        <f t="shared" si="113"/>
        <v>0</v>
      </c>
      <c r="L674" s="74"/>
      <c r="M674" s="74"/>
    </row>
    <row r="675" spans="1:13" ht="18.75" customHeight="1" hidden="1">
      <c r="A675" s="127" t="s">
        <v>97</v>
      </c>
      <c r="B675" s="266" t="s">
        <v>25</v>
      </c>
      <c r="C675" s="95" t="s">
        <v>98</v>
      </c>
      <c r="D675" s="67"/>
      <c r="E675" s="67"/>
      <c r="F675" s="67"/>
      <c r="G675" s="67"/>
      <c r="H675" s="67"/>
      <c r="I675" s="36"/>
      <c r="J675" s="36">
        <f>J676</f>
        <v>0</v>
      </c>
      <c r="K675" s="267">
        <f t="shared" si="113"/>
        <v>0</v>
      </c>
      <c r="L675" s="36">
        <f>L676</f>
        <v>0</v>
      </c>
      <c r="M675" s="36">
        <f>M676</f>
        <v>0</v>
      </c>
    </row>
    <row r="676" spans="1:13" ht="16.5" customHeight="1" hidden="1">
      <c r="A676" s="127" t="s">
        <v>99</v>
      </c>
      <c r="B676" s="266" t="s">
        <v>25</v>
      </c>
      <c r="C676" s="95" t="s">
        <v>100</v>
      </c>
      <c r="D676" s="67"/>
      <c r="E676" s="67"/>
      <c r="F676" s="67"/>
      <c r="G676" s="67"/>
      <c r="H676" s="67"/>
      <c r="I676" s="36"/>
      <c r="J676" s="36">
        <f>J677+J445</f>
        <v>0</v>
      </c>
      <c r="K676" s="36">
        <f>K677+K445</f>
        <v>0</v>
      </c>
      <c r="L676" s="36">
        <f>L677+L445</f>
        <v>0</v>
      </c>
      <c r="M676" s="36">
        <f>M677+M445</f>
        <v>0</v>
      </c>
    </row>
    <row r="677" spans="1:13" ht="23.25" customHeight="1" hidden="1">
      <c r="A677" s="127" t="s">
        <v>424</v>
      </c>
      <c r="B677" s="266">
        <v>111</v>
      </c>
      <c r="C677" s="95" t="s">
        <v>100</v>
      </c>
      <c r="D677" s="67" t="s">
        <v>425</v>
      </c>
      <c r="E677" s="67" t="s">
        <v>148</v>
      </c>
      <c r="F677" s="67" t="s">
        <v>149</v>
      </c>
      <c r="G677" s="67" t="s">
        <v>150</v>
      </c>
      <c r="H677" s="67"/>
      <c r="I677" s="36"/>
      <c r="J677" s="36">
        <f aca="true" t="shared" si="114" ref="J677:M678">J678</f>
        <v>0</v>
      </c>
      <c r="K677" s="36">
        <f t="shared" si="114"/>
        <v>0</v>
      </c>
      <c r="L677" s="36">
        <f t="shared" si="114"/>
        <v>0</v>
      </c>
      <c r="M677" s="36">
        <f t="shared" si="114"/>
        <v>0</v>
      </c>
    </row>
    <row r="678" spans="1:13" ht="26.25" customHeight="1" hidden="1">
      <c r="A678" s="127" t="s">
        <v>399</v>
      </c>
      <c r="B678" s="266">
        <v>111</v>
      </c>
      <c r="C678" s="95" t="s">
        <v>100</v>
      </c>
      <c r="D678" s="67" t="s">
        <v>425</v>
      </c>
      <c r="E678" s="67" t="s">
        <v>329</v>
      </c>
      <c r="F678" s="67" t="s">
        <v>149</v>
      </c>
      <c r="G678" s="67" t="s">
        <v>150</v>
      </c>
      <c r="H678" s="67"/>
      <c r="I678" s="36"/>
      <c r="J678" s="36">
        <f t="shared" si="114"/>
        <v>0</v>
      </c>
      <c r="K678" s="267">
        <f>J678-I678</f>
        <v>0</v>
      </c>
      <c r="L678" s="36">
        <f t="shared" si="114"/>
        <v>0</v>
      </c>
      <c r="M678" s="36">
        <f t="shared" si="114"/>
        <v>0</v>
      </c>
    </row>
    <row r="679" spans="1:13" s="276" customFormat="1" ht="20.25" customHeight="1" hidden="1">
      <c r="A679" s="124" t="s">
        <v>399</v>
      </c>
      <c r="B679" s="266">
        <v>111</v>
      </c>
      <c r="C679" s="95" t="s">
        <v>100</v>
      </c>
      <c r="D679" s="67" t="s">
        <v>425</v>
      </c>
      <c r="E679" s="67" t="s">
        <v>329</v>
      </c>
      <c r="F679" s="67" t="s">
        <v>147</v>
      </c>
      <c r="G679" s="67" t="s">
        <v>150</v>
      </c>
      <c r="H679" s="67"/>
      <c r="I679" s="36"/>
      <c r="J679" s="36">
        <f>J680+J682</f>
        <v>0</v>
      </c>
      <c r="K679" s="36">
        <f>K680+K682</f>
        <v>0</v>
      </c>
      <c r="L679" s="36">
        <f>L680+L682</f>
        <v>0</v>
      </c>
      <c r="M679" s="36">
        <f>M680+M682</f>
        <v>0</v>
      </c>
    </row>
    <row r="680" spans="1:13" ht="26.25" customHeight="1" hidden="1">
      <c r="A680" s="111" t="s">
        <v>464</v>
      </c>
      <c r="B680" s="270">
        <v>111</v>
      </c>
      <c r="C680" s="100" t="s">
        <v>100</v>
      </c>
      <c r="D680" s="99" t="s">
        <v>425</v>
      </c>
      <c r="E680" s="99" t="s">
        <v>329</v>
      </c>
      <c r="F680" s="99" t="s">
        <v>147</v>
      </c>
      <c r="G680" s="99" t="s">
        <v>465</v>
      </c>
      <c r="H680" s="99"/>
      <c r="I680" s="74"/>
      <c r="J680" s="74">
        <f>J681</f>
        <v>0</v>
      </c>
      <c r="K680" s="271">
        <f aca="true" t="shared" si="115" ref="K680:K690">J680-I680</f>
        <v>0</v>
      </c>
      <c r="L680" s="74">
        <f>L681</f>
        <v>0</v>
      </c>
      <c r="M680" s="74">
        <f>M681</f>
        <v>0</v>
      </c>
    </row>
    <row r="681" spans="1:13" s="156" customFormat="1" ht="30.75" customHeight="1" hidden="1">
      <c r="A681" s="112" t="s">
        <v>690</v>
      </c>
      <c r="B681" s="270">
        <v>111</v>
      </c>
      <c r="C681" s="100" t="s">
        <v>100</v>
      </c>
      <c r="D681" s="99" t="s">
        <v>425</v>
      </c>
      <c r="E681" s="99" t="s">
        <v>329</v>
      </c>
      <c r="F681" s="99" t="s">
        <v>147</v>
      </c>
      <c r="G681" s="99" t="s">
        <v>465</v>
      </c>
      <c r="H681" s="99" t="s">
        <v>691</v>
      </c>
      <c r="I681" s="74"/>
      <c r="J681" s="131"/>
      <c r="K681" s="271">
        <f t="shared" si="115"/>
        <v>0</v>
      </c>
      <c r="L681" s="74"/>
      <c r="M681" s="74"/>
    </row>
    <row r="682" spans="1:13" s="156" customFormat="1" ht="31.5" customHeight="1" hidden="1">
      <c r="A682" s="112" t="s">
        <v>191</v>
      </c>
      <c r="B682" s="270">
        <v>111</v>
      </c>
      <c r="C682" s="100" t="s">
        <v>100</v>
      </c>
      <c r="D682" s="99" t="s">
        <v>425</v>
      </c>
      <c r="E682" s="99" t="s">
        <v>329</v>
      </c>
      <c r="F682" s="99" t="s">
        <v>147</v>
      </c>
      <c r="G682" s="99" t="s">
        <v>747</v>
      </c>
      <c r="H682" s="99"/>
      <c r="I682" s="119"/>
      <c r="J682" s="119">
        <f>J683</f>
        <v>0</v>
      </c>
      <c r="K682" s="271">
        <f t="shared" si="115"/>
        <v>0</v>
      </c>
      <c r="L682" s="119">
        <f>L683</f>
        <v>0</v>
      </c>
      <c r="M682" s="119">
        <f>M683</f>
        <v>0</v>
      </c>
    </row>
    <row r="683" spans="1:13" s="156" customFormat="1" ht="21.75" customHeight="1" hidden="1">
      <c r="A683" s="112" t="s">
        <v>690</v>
      </c>
      <c r="B683" s="270">
        <v>111</v>
      </c>
      <c r="C683" s="100" t="s">
        <v>100</v>
      </c>
      <c r="D683" s="99" t="s">
        <v>425</v>
      </c>
      <c r="E683" s="99" t="s">
        <v>329</v>
      </c>
      <c r="F683" s="99" t="s">
        <v>147</v>
      </c>
      <c r="G683" s="99" t="s">
        <v>747</v>
      </c>
      <c r="H683" s="99" t="s">
        <v>691</v>
      </c>
      <c r="I683" s="119"/>
      <c r="J683" s="119"/>
      <c r="K683" s="271">
        <f t="shared" si="115"/>
        <v>0</v>
      </c>
      <c r="L683" s="74"/>
      <c r="M683" s="74"/>
    </row>
    <row r="684" spans="1:13" s="268" customFormat="1" ht="14.25">
      <c r="A684" s="140" t="s">
        <v>119</v>
      </c>
      <c r="B684" s="266" t="s">
        <v>25</v>
      </c>
      <c r="C684" s="95" t="s">
        <v>120</v>
      </c>
      <c r="D684" s="67"/>
      <c r="E684" s="67"/>
      <c r="F684" s="67"/>
      <c r="G684" s="67"/>
      <c r="H684" s="67"/>
      <c r="I684" s="36">
        <f aca="true" t="shared" si="116" ref="I684:M689">I685</f>
        <v>277.5</v>
      </c>
      <c r="J684" s="36">
        <f t="shared" si="116"/>
        <v>277.5</v>
      </c>
      <c r="K684" s="267">
        <f t="shared" si="115"/>
        <v>0</v>
      </c>
      <c r="L684" s="36">
        <f t="shared" si="116"/>
        <v>277.5</v>
      </c>
      <c r="M684" s="36">
        <f t="shared" si="116"/>
        <v>277.5</v>
      </c>
    </row>
    <row r="685" spans="1:13" s="268" customFormat="1" ht="28.5">
      <c r="A685" s="140" t="s">
        <v>185</v>
      </c>
      <c r="B685" s="266" t="s">
        <v>25</v>
      </c>
      <c r="C685" s="95" t="s">
        <v>122</v>
      </c>
      <c r="D685" s="67"/>
      <c r="E685" s="67"/>
      <c r="F685" s="67"/>
      <c r="G685" s="67"/>
      <c r="H685" s="67"/>
      <c r="I685" s="36">
        <f t="shared" si="116"/>
        <v>277.5</v>
      </c>
      <c r="J685" s="36">
        <f t="shared" si="116"/>
        <v>277.5</v>
      </c>
      <c r="K685" s="267">
        <f t="shared" si="115"/>
        <v>0</v>
      </c>
      <c r="L685" s="36">
        <f t="shared" si="116"/>
        <v>277.5</v>
      </c>
      <c r="M685" s="36">
        <f t="shared" si="116"/>
        <v>277.5</v>
      </c>
    </row>
    <row r="686" spans="1:13" s="268" customFormat="1" ht="42.75">
      <c r="A686" s="127" t="s">
        <v>173</v>
      </c>
      <c r="B686" s="266" t="s">
        <v>25</v>
      </c>
      <c r="C686" s="95" t="s">
        <v>122</v>
      </c>
      <c r="D686" s="67" t="s">
        <v>174</v>
      </c>
      <c r="E686" s="67" t="s">
        <v>148</v>
      </c>
      <c r="F686" s="67" t="s">
        <v>149</v>
      </c>
      <c r="G686" s="67" t="s">
        <v>150</v>
      </c>
      <c r="H686" s="67"/>
      <c r="I686" s="36">
        <f t="shared" si="116"/>
        <v>277.5</v>
      </c>
      <c r="J686" s="36">
        <f t="shared" si="116"/>
        <v>277.5</v>
      </c>
      <c r="K686" s="267">
        <f t="shared" si="115"/>
        <v>0</v>
      </c>
      <c r="L686" s="36">
        <f t="shared" si="116"/>
        <v>277.5</v>
      </c>
      <c r="M686" s="36">
        <f t="shared" si="116"/>
        <v>277.5</v>
      </c>
    </row>
    <row r="687" spans="1:13" s="268" customFormat="1" ht="28.5">
      <c r="A687" s="124" t="s">
        <v>181</v>
      </c>
      <c r="B687" s="266" t="s">
        <v>25</v>
      </c>
      <c r="C687" s="95" t="s">
        <v>122</v>
      </c>
      <c r="D687" s="67" t="s">
        <v>174</v>
      </c>
      <c r="E687" s="67" t="s">
        <v>132</v>
      </c>
      <c r="F687" s="67" t="s">
        <v>149</v>
      </c>
      <c r="G687" s="67" t="s">
        <v>150</v>
      </c>
      <c r="H687" s="67"/>
      <c r="I687" s="36">
        <f t="shared" si="116"/>
        <v>277.5</v>
      </c>
      <c r="J687" s="36">
        <f t="shared" si="116"/>
        <v>277.5</v>
      </c>
      <c r="K687" s="267">
        <f t="shared" si="115"/>
        <v>0</v>
      </c>
      <c r="L687" s="36">
        <f t="shared" si="116"/>
        <v>277.5</v>
      </c>
      <c r="M687" s="36">
        <f t="shared" si="116"/>
        <v>277.5</v>
      </c>
    </row>
    <row r="688" spans="1:13" s="268" customFormat="1" ht="33" customHeight="1">
      <c r="A688" s="124" t="s">
        <v>182</v>
      </c>
      <c r="B688" s="266" t="s">
        <v>25</v>
      </c>
      <c r="C688" s="95" t="s">
        <v>122</v>
      </c>
      <c r="D688" s="67" t="s">
        <v>174</v>
      </c>
      <c r="E688" s="67" t="s">
        <v>132</v>
      </c>
      <c r="F688" s="67" t="s">
        <v>147</v>
      </c>
      <c r="G688" s="67" t="s">
        <v>150</v>
      </c>
      <c r="H688" s="67"/>
      <c r="I688" s="36">
        <f t="shared" si="116"/>
        <v>277.5</v>
      </c>
      <c r="J688" s="36">
        <f t="shared" si="116"/>
        <v>277.5</v>
      </c>
      <c r="K688" s="267">
        <f t="shared" si="115"/>
        <v>0</v>
      </c>
      <c r="L688" s="36">
        <f t="shared" si="116"/>
        <v>277.5</v>
      </c>
      <c r="M688" s="36">
        <f t="shared" si="116"/>
        <v>277.5</v>
      </c>
    </row>
    <row r="689" spans="1:13" s="268" customFormat="1" ht="15">
      <c r="A689" s="111" t="s">
        <v>183</v>
      </c>
      <c r="B689" s="270" t="s">
        <v>25</v>
      </c>
      <c r="C689" s="100" t="s">
        <v>122</v>
      </c>
      <c r="D689" s="99" t="s">
        <v>174</v>
      </c>
      <c r="E689" s="99" t="s">
        <v>132</v>
      </c>
      <c r="F689" s="99" t="s">
        <v>147</v>
      </c>
      <c r="G689" s="100" t="s">
        <v>184</v>
      </c>
      <c r="H689" s="117"/>
      <c r="I689" s="74">
        <f t="shared" si="116"/>
        <v>277.5</v>
      </c>
      <c r="J689" s="74">
        <f t="shared" si="116"/>
        <v>277.5</v>
      </c>
      <c r="K689" s="271">
        <f t="shared" si="115"/>
        <v>0</v>
      </c>
      <c r="L689" s="74">
        <f t="shared" si="116"/>
        <v>277.5</v>
      </c>
      <c r="M689" s="74">
        <f t="shared" si="116"/>
        <v>277.5</v>
      </c>
    </row>
    <row r="690" spans="1:13" s="268" customFormat="1" ht="15">
      <c r="A690" s="111" t="s">
        <v>695</v>
      </c>
      <c r="B690" s="270" t="s">
        <v>25</v>
      </c>
      <c r="C690" s="100" t="s">
        <v>122</v>
      </c>
      <c r="D690" s="99" t="s">
        <v>174</v>
      </c>
      <c r="E690" s="99" t="s">
        <v>132</v>
      </c>
      <c r="F690" s="99" t="s">
        <v>147</v>
      </c>
      <c r="G690" s="100" t="s">
        <v>184</v>
      </c>
      <c r="H690" s="117">
        <v>700</v>
      </c>
      <c r="I690" s="74">
        <v>277.5</v>
      </c>
      <c r="J690" s="74">
        <v>277.5</v>
      </c>
      <c r="K690" s="271">
        <f t="shared" si="115"/>
        <v>0</v>
      </c>
      <c r="L690" s="74">
        <v>277.5</v>
      </c>
      <c r="M690" s="74">
        <v>277.5</v>
      </c>
    </row>
    <row r="691" spans="1:13" s="268" customFormat="1" ht="28.5">
      <c r="A691" s="140" t="s">
        <v>490</v>
      </c>
      <c r="B691" s="266" t="s">
        <v>25</v>
      </c>
      <c r="C691" s="95" t="s">
        <v>124</v>
      </c>
      <c r="D691" s="67"/>
      <c r="E691" s="67"/>
      <c r="F691" s="67"/>
      <c r="G691" s="67"/>
      <c r="H691" s="67"/>
      <c r="I691" s="36">
        <f>I692+I700</f>
        <v>223408.5</v>
      </c>
      <c r="J691" s="36">
        <f>J692+J700</f>
        <v>232009.9</v>
      </c>
      <c r="K691" s="267">
        <f aca="true" t="shared" si="117" ref="K691:K697">J691-I691</f>
        <v>8601.399999999994</v>
      </c>
      <c r="L691" s="36">
        <f>L692+L700</f>
        <v>222810.6</v>
      </c>
      <c r="M691" s="36">
        <f>M692+M700</f>
        <v>228774.4</v>
      </c>
    </row>
    <row r="692" spans="1:13" s="268" customFormat="1" ht="33" customHeight="1">
      <c r="A692" s="140" t="s">
        <v>125</v>
      </c>
      <c r="B692" s="266" t="s">
        <v>25</v>
      </c>
      <c r="C692" s="95" t="s">
        <v>126</v>
      </c>
      <c r="D692" s="67"/>
      <c r="E692" s="67"/>
      <c r="F692" s="67"/>
      <c r="G692" s="67"/>
      <c r="H692" s="67"/>
      <c r="I692" s="36">
        <f aca="true" t="shared" si="118" ref="I692:M696">I693</f>
        <v>206503.5</v>
      </c>
      <c r="J692" s="36">
        <f t="shared" si="118"/>
        <v>206503.5</v>
      </c>
      <c r="K692" s="267">
        <f t="shared" si="117"/>
        <v>0</v>
      </c>
      <c r="L692" s="36">
        <f t="shared" si="118"/>
        <v>212310.6</v>
      </c>
      <c r="M692" s="36">
        <f t="shared" si="118"/>
        <v>218274.4</v>
      </c>
    </row>
    <row r="693" spans="1:13" s="268" customFormat="1" ht="42.75">
      <c r="A693" s="127" t="s">
        <v>173</v>
      </c>
      <c r="B693" s="266" t="s">
        <v>25</v>
      </c>
      <c r="C693" s="95" t="s">
        <v>126</v>
      </c>
      <c r="D693" s="67" t="s">
        <v>174</v>
      </c>
      <c r="E693" s="67" t="s">
        <v>148</v>
      </c>
      <c r="F693" s="67" t="s">
        <v>149</v>
      </c>
      <c r="G693" s="67" t="s">
        <v>150</v>
      </c>
      <c r="H693" s="67"/>
      <c r="I693" s="36">
        <f t="shared" si="118"/>
        <v>206503.5</v>
      </c>
      <c r="J693" s="36">
        <f t="shared" si="118"/>
        <v>206503.5</v>
      </c>
      <c r="K693" s="267">
        <f t="shared" si="117"/>
        <v>0</v>
      </c>
      <c r="L693" s="36">
        <f t="shared" si="118"/>
        <v>212310.6</v>
      </c>
      <c r="M693" s="36">
        <f t="shared" si="118"/>
        <v>218274.4</v>
      </c>
    </row>
    <row r="694" spans="1:13" s="268" customFormat="1" ht="48.75" customHeight="1">
      <c r="A694" s="124" t="s">
        <v>175</v>
      </c>
      <c r="B694" s="266" t="s">
        <v>25</v>
      </c>
      <c r="C694" s="95" t="s">
        <v>126</v>
      </c>
      <c r="D694" s="67" t="s">
        <v>174</v>
      </c>
      <c r="E694" s="67" t="s">
        <v>131</v>
      </c>
      <c r="F694" s="67" t="s">
        <v>149</v>
      </c>
      <c r="G694" s="67" t="s">
        <v>150</v>
      </c>
      <c r="H694" s="67"/>
      <c r="I694" s="36">
        <f t="shared" si="118"/>
        <v>206503.5</v>
      </c>
      <c r="J694" s="36">
        <f t="shared" si="118"/>
        <v>206503.5</v>
      </c>
      <c r="K694" s="267">
        <f t="shared" si="117"/>
        <v>0</v>
      </c>
      <c r="L694" s="36">
        <f t="shared" si="118"/>
        <v>212310.6</v>
      </c>
      <c r="M694" s="36">
        <f t="shared" si="118"/>
        <v>218274.4</v>
      </c>
    </row>
    <row r="695" spans="1:13" s="268" customFormat="1" ht="42.75">
      <c r="A695" s="125" t="s">
        <v>176</v>
      </c>
      <c r="B695" s="266" t="s">
        <v>25</v>
      </c>
      <c r="C695" s="95" t="s">
        <v>126</v>
      </c>
      <c r="D695" s="95" t="s">
        <v>174</v>
      </c>
      <c r="E695" s="95" t="s">
        <v>131</v>
      </c>
      <c r="F695" s="95" t="s">
        <v>147</v>
      </c>
      <c r="G695" s="95" t="s">
        <v>150</v>
      </c>
      <c r="H695" s="94"/>
      <c r="I695" s="36">
        <f>I696+I698</f>
        <v>206503.5</v>
      </c>
      <c r="J695" s="36">
        <f>J696+J698</f>
        <v>206503.5</v>
      </c>
      <c r="K695" s="267">
        <f t="shared" si="117"/>
        <v>0</v>
      </c>
      <c r="L695" s="36">
        <f>L696+L698</f>
        <v>212310.6</v>
      </c>
      <c r="M695" s="36">
        <f>M696+M698</f>
        <v>218274.4</v>
      </c>
    </row>
    <row r="696" spans="1:13" s="156" customFormat="1" ht="30">
      <c r="A696" s="111" t="s">
        <v>177</v>
      </c>
      <c r="B696" s="270" t="s">
        <v>25</v>
      </c>
      <c r="C696" s="100" t="s">
        <v>126</v>
      </c>
      <c r="D696" s="100" t="s">
        <v>174</v>
      </c>
      <c r="E696" s="100" t="s">
        <v>131</v>
      </c>
      <c r="F696" s="100" t="s">
        <v>147</v>
      </c>
      <c r="G696" s="100" t="s">
        <v>178</v>
      </c>
      <c r="H696" s="117"/>
      <c r="I696" s="74">
        <f t="shared" si="118"/>
        <v>46539.1</v>
      </c>
      <c r="J696" s="74">
        <f t="shared" si="118"/>
        <v>46539.1</v>
      </c>
      <c r="K696" s="271">
        <f t="shared" si="117"/>
        <v>0</v>
      </c>
      <c r="L696" s="74">
        <f t="shared" si="118"/>
        <v>46539.1</v>
      </c>
      <c r="M696" s="74">
        <f t="shared" si="118"/>
        <v>46539.1</v>
      </c>
    </row>
    <row r="697" spans="1:13" s="156" customFormat="1" ht="15">
      <c r="A697" s="111" t="s">
        <v>690</v>
      </c>
      <c r="B697" s="270" t="s">
        <v>25</v>
      </c>
      <c r="C697" s="100" t="s">
        <v>126</v>
      </c>
      <c r="D697" s="100" t="s">
        <v>174</v>
      </c>
      <c r="E697" s="100" t="s">
        <v>131</v>
      </c>
      <c r="F697" s="100" t="s">
        <v>147</v>
      </c>
      <c r="G697" s="100" t="s">
        <v>178</v>
      </c>
      <c r="H697" s="117">
        <v>500</v>
      </c>
      <c r="I697" s="74">
        <v>46539.1</v>
      </c>
      <c r="J697" s="74">
        <v>46539.1</v>
      </c>
      <c r="K697" s="271">
        <f t="shared" si="117"/>
        <v>0</v>
      </c>
      <c r="L697" s="74">
        <v>46539.1</v>
      </c>
      <c r="M697" s="74">
        <v>46539.1</v>
      </c>
    </row>
    <row r="698" spans="1:13" s="154" customFormat="1" ht="60">
      <c r="A698" s="111" t="s">
        <v>179</v>
      </c>
      <c r="B698" s="270" t="s">
        <v>25</v>
      </c>
      <c r="C698" s="100" t="s">
        <v>126</v>
      </c>
      <c r="D698" s="100" t="s">
        <v>174</v>
      </c>
      <c r="E698" s="100" t="s">
        <v>131</v>
      </c>
      <c r="F698" s="100" t="s">
        <v>147</v>
      </c>
      <c r="G698" s="100" t="s">
        <v>180</v>
      </c>
      <c r="H698" s="117"/>
      <c r="I698" s="74">
        <f>I699</f>
        <v>159964.4</v>
      </c>
      <c r="J698" s="74">
        <f>J699</f>
        <v>159964.4</v>
      </c>
      <c r="K698" s="271">
        <f aca="true" t="shared" si="119" ref="K698:K711">J698-I698</f>
        <v>0</v>
      </c>
      <c r="L698" s="74">
        <f>L699</f>
        <v>165771.5</v>
      </c>
      <c r="M698" s="74">
        <f>M699</f>
        <v>171735.3</v>
      </c>
    </row>
    <row r="699" spans="1:13" s="268" customFormat="1" ht="15">
      <c r="A699" s="111" t="s">
        <v>690</v>
      </c>
      <c r="B699" s="270" t="s">
        <v>25</v>
      </c>
      <c r="C699" s="100" t="s">
        <v>126</v>
      </c>
      <c r="D699" s="100" t="s">
        <v>174</v>
      </c>
      <c r="E699" s="100" t="s">
        <v>131</v>
      </c>
      <c r="F699" s="100" t="s">
        <v>147</v>
      </c>
      <c r="G699" s="100" t="s">
        <v>180</v>
      </c>
      <c r="H699" s="117">
        <v>500</v>
      </c>
      <c r="I699" s="74">
        <v>159964.4</v>
      </c>
      <c r="J699" s="74">
        <v>159964.4</v>
      </c>
      <c r="K699" s="271">
        <f t="shared" si="119"/>
        <v>0</v>
      </c>
      <c r="L699" s="74">
        <v>165771.5</v>
      </c>
      <c r="M699" s="74">
        <v>171735.3</v>
      </c>
    </row>
    <row r="700" spans="1:13" s="269" customFormat="1" ht="15">
      <c r="A700" s="140" t="s">
        <v>127</v>
      </c>
      <c r="B700" s="266" t="s">
        <v>25</v>
      </c>
      <c r="C700" s="95" t="s">
        <v>128</v>
      </c>
      <c r="D700" s="137"/>
      <c r="E700" s="137"/>
      <c r="F700" s="137"/>
      <c r="G700" s="137"/>
      <c r="H700" s="94"/>
      <c r="I700" s="36">
        <f aca="true" t="shared" si="120" ref="I700:M702">I701</f>
        <v>16905</v>
      </c>
      <c r="J700" s="36">
        <f t="shared" si="120"/>
        <v>25506.4</v>
      </c>
      <c r="K700" s="267">
        <f t="shared" si="119"/>
        <v>8601.400000000001</v>
      </c>
      <c r="L700" s="36">
        <f t="shared" si="120"/>
        <v>10500</v>
      </c>
      <c r="M700" s="36">
        <f t="shared" si="120"/>
        <v>10500</v>
      </c>
    </row>
    <row r="701" spans="1:13" s="269" customFormat="1" ht="15">
      <c r="A701" s="127" t="s">
        <v>424</v>
      </c>
      <c r="B701" s="266" t="s">
        <v>25</v>
      </c>
      <c r="C701" s="95" t="s">
        <v>128</v>
      </c>
      <c r="D701" s="95" t="s">
        <v>425</v>
      </c>
      <c r="E701" s="95" t="s">
        <v>148</v>
      </c>
      <c r="F701" s="95" t="s">
        <v>149</v>
      </c>
      <c r="G701" s="95" t="s">
        <v>150</v>
      </c>
      <c r="H701" s="94"/>
      <c r="I701" s="36">
        <f t="shared" si="120"/>
        <v>16905</v>
      </c>
      <c r="J701" s="36">
        <f t="shared" si="120"/>
        <v>25506.4</v>
      </c>
      <c r="K701" s="267">
        <f t="shared" si="119"/>
        <v>8601.400000000001</v>
      </c>
      <c r="L701" s="36">
        <f t="shared" si="120"/>
        <v>10500</v>
      </c>
      <c r="M701" s="36">
        <f t="shared" si="120"/>
        <v>10500</v>
      </c>
    </row>
    <row r="702" spans="1:13" s="269" customFormat="1" ht="15">
      <c r="A702" s="124" t="s">
        <v>399</v>
      </c>
      <c r="B702" s="266" t="s">
        <v>25</v>
      </c>
      <c r="C702" s="95" t="s">
        <v>128</v>
      </c>
      <c r="D702" s="95" t="s">
        <v>425</v>
      </c>
      <c r="E702" s="95" t="s">
        <v>329</v>
      </c>
      <c r="F702" s="95" t="s">
        <v>149</v>
      </c>
      <c r="G702" s="95" t="s">
        <v>150</v>
      </c>
      <c r="H702" s="94"/>
      <c r="I702" s="36">
        <f t="shared" si="120"/>
        <v>16905</v>
      </c>
      <c r="J702" s="36">
        <f t="shared" si="120"/>
        <v>25506.4</v>
      </c>
      <c r="K702" s="267">
        <f t="shared" si="119"/>
        <v>8601.400000000001</v>
      </c>
      <c r="L702" s="36">
        <f t="shared" si="120"/>
        <v>10500</v>
      </c>
      <c r="M702" s="36">
        <f t="shared" si="120"/>
        <v>10500</v>
      </c>
    </row>
    <row r="703" spans="1:13" s="268" customFormat="1" ht="14.25">
      <c r="A703" s="124" t="s">
        <v>399</v>
      </c>
      <c r="B703" s="266" t="s">
        <v>25</v>
      </c>
      <c r="C703" s="95" t="s">
        <v>128</v>
      </c>
      <c r="D703" s="95" t="s">
        <v>425</v>
      </c>
      <c r="E703" s="95" t="s">
        <v>329</v>
      </c>
      <c r="F703" s="95" t="s">
        <v>147</v>
      </c>
      <c r="G703" s="95" t="s">
        <v>150</v>
      </c>
      <c r="H703" s="94"/>
      <c r="I703" s="36">
        <f>I704+I706+I708+I712+I710</f>
        <v>16905</v>
      </c>
      <c r="J703" s="36">
        <f>J704+J706+J708+J712+J710</f>
        <v>25506.4</v>
      </c>
      <c r="K703" s="267">
        <f t="shared" si="119"/>
        <v>8601.400000000001</v>
      </c>
      <c r="L703" s="36">
        <f>L704+L706+L708+L712+L710</f>
        <v>10500</v>
      </c>
      <c r="M703" s="36">
        <f>M704+M706+M708+M712+M710</f>
        <v>10500</v>
      </c>
    </row>
    <row r="704" spans="1:13" s="269" customFormat="1" ht="45" hidden="1">
      <c r="A704" s="111" t="s">
        <v>459</v>
      </c>
      <c r="B704" s="270" t="s">
        <v>25</v>
      </c>
      <c r="C704" s="100" t="s">
        <v>128</v>
      </c>
      <c r="D704" s="100" t="s">
        <v>425</v>
      </c>
      <c r="E704" s="100" t="s">
        <v>329</v>
      </c>
      <c r="F704" s="100" t="s">
        <v>147</v>
      </c>
      <c r="G704" s="100" t="s">
        <v>460</v>
      </c>
      <c r="H704" s="117"/>
      <c r="I704" s="74"/>
      <c r="J704" s="74">
        <f>J705</f>
        <v>0</v>
      </c>
      <c r="K704" s="267">
        <f t="shared" si="119"/>
        <v>0</v>
      </c>
      <c r="L704" s="74">
        <f>L705</f>
        <v>0</v>
      </c>
      <c r="M704" s="74">
        <f>M705</f>
        <v>0</v>
      </c>
    </row>
    <row r="705" spans="1:13" s="269" customFormat="1" ht="15" hidden="1">
      <c r="A705" s="115" t="s">
        <v>692</v>
      </c>
      <c r="B705" s="270" t="s">
        <v>25</v>
      </c>
      <c r="C705" s="100" t="s">
        <v>128</v>
      </c>
      <c r="D705" s="100" t="s">
        <v>425</v>
      </c>
      <c r="E705" s="100" t="s">
        <v>329</v>
      </c>
      <c r="F705" s="100" t="s">
        <v>147</v>
      </c>
      <c r="G705" s="100" t="s">
        <v>460</v>
      </c>
      <c r="H705" s="117">
        <v>500</v>
      </c>
      <c r="I705" s="74"/>
      <c r="J705" s="273"/>
      <c r="K705" s="267">
        <f t="shared" si="119"/>
        <v>0</v>
      </c>
      <c r="L705" s="74"/>
      <c r="M705" s="74"/>
    </row>
    <row r="706" spans="1:13" s="269" customFormat="1" ht="45">
      <c r="A706" s="115" t="s">
        <v>628</v>
      </c>
      <c r="B706" s="270" t="s">
        <v>25</v>
      </c>
      <c r="C706" s="100" t="s">
        <v>128</v>
      </c>
      <c r="D706" s="100" t="s">
        <v>425</v>
      </c>
      <c r="E706" s="100" t="s">
        <v>329</v>
      </c>
      <c r="F706" s="100" t="s">
        <v>147</v>
      </c>
      <c r="G706" s="100" t="s">
        <v>526</v>
      </c>
      <c r="H706" s="117"/>
      <c r="I706" s="74">
        <f>I707</f>
        <v>11487.6</v>
      </c>
      <c r="J706" s="74">
        <f>J707</f>
        <v>20089</v>
      </c>
      <c r="K706" s="271">
        <f t="shared" si="119"/>
        <v>8601.4</v>
      </c>
      <c r="L706" s="74">
        <f>L707</f>
        <v>10000</v>
      </c>
      <c r="M706" s="74">
        <f>M707</f>
        <v>10000</v>
      </c>
    </row>
    <row r="707" spans="1:13" s="269" customFormat="1" ht="15">
      <c r="A707" s="115" t="s">
        <v>692</v>
      </c>
      <c r="B707" s="270" t="s">
        <v>25</v>
      </c>
      <c r="C707" s="100" t="s">
        <v>128</v>
      </c>
      <c r="D707" s="100" t="s">
        <v>425</v>
      </c>
      <c r="E707" s="100" t="s">
        <v>329</v>
      </c>
      <c r="F707" s="100" t="s">
        <v>147</v>
      </c>
      <c r="G707" s="100" t="s">
        <v>526</v>
      </c>
      <c r="H707" s="117">
        <v>500</v>
      </c>
      <c r="I707" s="74">
        <f>10000-4917.4+2818.8+475.1+467+496+606+2682+1500+500+4000+150-7289.9</f>
        <v>11487.6</v>
      </c>
      <c r="J707" s="74">
        <f>10000-4917.4+2818.8+475.1+467+496+606+2682+1500+500+4000+150-7289.9+7401.4+1200</f>
        <v>20089</v>
      </c>
      <c r="K707" s="271">
        <f t="shared" si="119"/>
        <v>8601.4</v>
      </c>
      <c r="L707" s="74">
        <v>10000</v>
      </c>
      <c r="M707" s="74">
        <v>10000</v>
      </c>
    </row>
    <row r="708" spans="1:13" s="269" customFormat="1" ht="30">
      <c r="A708" s="115" t="s">
        <v>748</v>
      </c>
      <c r="B708" s="270" t="s">
        <v>25</v>
      </c>
      <c r="C708" s="100" t="s">
        <v>128</v>
      </c>
      <c r="D708" s="100" t="s">
        <v>425</v>
      </c>
      <c r="E708" s="100" t="s">
        <v>329</v>
      </c>
      <c r="F708" s="100" t="s">
        <v>147</v>
      </c>
      <c r="G708" s="100" t="s">
        <v>746</v>
      </c>
      <c r="H708" s="117"/>
      <c r="I708" s="74">
        <f>I709</f>
        <v>500</v>
      </c>
      <c r="J708" s="74">
        <f>J709</f>
        <v>500</v>
      </c>
      <c r="K708" s="271">
        <f t="shared" si="119"/>
        <v>0</v>
      </c>
      <c r="L708" s="74">
        <f>L709</f>
        <v>500</v>
      </c>
      <c r="M708" s="74">
        <f>M709</f>
        <v>500</v>
      </c>
    </row>
    <row r="709" spans="1:13" s="269" customFormat="1" ht="15">
      <c r="A709" s="115" t="s">
        <v>692</v>
      </c>
      <c r="B709" s="270" t="s">
        <v>25</v>
      </c>
      <c r="C709" s="100" t="s">
        <v>128</v>
      </c>
      <c r="D709" s="100" t="s">
        <v>425</v>
      </c>
      <c r="E709" s="100" t="s">
        <v>329</v>
      </c>
      <c r="F709" s="100" t="s">
        <v>147</v>
      </c>
      <c r="G709" s="100" t="s">
        <v>746</v>
      </c>
      <c r="H709" s="117">
        <v>500</v>
      </c>
      <c r="I709" s="74">
        <v>500</v>
      </c>
      <c r="J709" s="74">
        <v>500</v>
      </c>
      <c r="K709" s="271">
        <f t="shared" si="119"/>
        <v>0</v>
      </c>
      <c r="L709" s="74">
        <v>500</v>
      </c>
      <c r="M709" s="74">
        <v>500</v>
      </c>
    </row>
    <row r="710" spans="1:13" s="269" customFormat="1" ht="60">
      <c r="A710" s="115" t="s">
        <v>1061</v>
      </c>
      <c r="B710" s="270" t="s">
        <v>25</v>
      </c>
      <c r="C710" s="100" t="s">
        <v>128</v>
      </c>
      <c r="D710" s="100" t="s">
        <v>425</v>
      </c>
      <c r="E710" s="100" t="s">
        <v>329</v>
      </c>
      <c r="F710" s="100" t="s">
        <v>147</v>
      </c>
      <c r="G710" s="100" t="s">
        <v>1060</v>
      </c>
      <c r="H710" s="117"/>
      <c r="I710" s="74">
        <f>I711</f>
        <v>4917.4</v>
      </c>
      <c r="J710" s="74">
        <f>J711</f>
        <v>4917.4</v>
      </c>
      <c r="K710" s="271">
        <f t="shared" si="119"/>
        <v>0</v>
      </c>
      <c r="L710" s="74">
        <f>L711</f>
        <v>0</v>
      </c>
      <c r="M710" s="74">
        <f>M711</f>
        <v>0</v>
      </c>
    </row>
    <row r="711" spans="1:13" s="269" customFormat="1" ht="15">
      <c r="A711" s="115" t="s">
        <v>692</v>
      </c>
      <c r="B711" s="270" t="s">
        <v>25</v>
      </c>
      <c r="C711" s="100" t="s">
        <v>128</v>
      </c>
      <c r="D711" s="100" t="s">
        <v>425</v>
      </c>
      <c r="E711" s="100" t="s">
        <v>329</v>
      </c>
      <c r="F711" s="100" t="s">
        <v>147</v>
      </c>
      <c r="G711" s="100" t="s">
        <v>1060</v>
      </c>
      <c r="H711" s="117">
        <v>500</v>
      </c>
      <c r="I711" s="74">
        <v>4917.4</v>
      </c>
      <c r="J711" s="74">
        <v>4917.4</v>
      </c>
      <c r="K711" s="271">
        <f t="shared" si="119"/>
        <v>0</v>
      </c>
      <c r="L711" s="74"/>
      <c r="M711" s="74"/>
    </row>
    <row r="712" spans="1:13" s="269" customFormat="1" ht="18.75" customHeight="1" hidden="1">
      <c r="A712" s="115" t="s">
        <v>464</v>
      </c>
      <c r="B712" s="270" t="s">
        <v>25</v>
      </c>
      <c r="C712" s="100" t="s">
        <v>128</v>
      </c>
      <c r="D712" s="100" t="s">
        <v>425</v>
      </c>
      <c r="E712" s="100" t="s">
        <v>329</v>
      </c>
      <c r="F712" s="100" t="s">
        <v>147</v>
      </c>
      <c r="G712" s="100" t="s">
        <v>465</v>
      </c>
      <c r="H712" s="117"/>
      <c r="I712" s="74"/>
      <c r="J712" s="74">
        <f>J713</f>
        <v>0</v>
      </c>
      <c r="K712" s="271">
        <f aca="true" t="shared" si="121" ref="K712:K721">J712-I712</f>
        <v>0</v>
      </c>
      <c r="L712" s="74">
        <f>L713</f>
        <v>0</v>
      </c>
      <c r="M712" s="74">
        <f>M713</f>
        <v>0</v>
      </c>
    </row>
    <row r="713" spans="1:13" s="269" customFormat="1" ht="19.5" customHeight="1" hidden="1">
      <c r="A713" s="115" t="s">
        <v>692</v>
      </c>
      <c r="B713" s="270" t="s">
        <v>25</v>
      </c>
      <c r="C713" s="100" t="s">
        <v>128</v>
      </c>
      <c r="D713" s="100" t="s">
        <v>425</v>
      </c>
      <c r="E713" s="100" t="s">
        <v>329</v>
      </c>
      <c r="F713" s="100" t="s">
        <v>147</v>
      </c>
      <c r="G713" s="100" t="s">
        <v>465</v>
      </c>
      <c r="H713" s="117">
        <v>500</v>
      </c>
      <c r="I713" s="74"/>
      <c r="J713" s="273"/>
      <c r="K713" s="271">
        <f t="shared" si="121"/>
        <v>0</v>
      </c>
      <c r="L713" s="74"/>
      <c r="M713" s="74"/>
    </row>
    <row r="714" spans="1:13" s="269" customFormat="1" ht="28.5">
      <c r="A714" s="127" t="s">
        <v>136</v>
      </c>
      <c r="B714" s="266" t="s">
        <v>28</v>
      </c>
      <c r="C714" s="95"/>
      <c r="D714" s="67"/>
      <c r="E714" s="67"/>
      <c r="F714" s="67"/>
      <c r="G714" s="67"/>
      <c r="H714" s="67"/>
      <c r="I714" s="36">
        <f>I715+I741</f>
        <v>18794</v>
      </c>
      <c r="J714" s="36">
        <f>J715+J741</f>
        <v>18601</v>
      </c>
      <c r="K714" s="267">
        <f t="shared" si="121"/>
        <v>-193</v>
      </c>
      <c r="L714" s="36">
        <f>L715+L741</f>
        <v>15317.300000000001</v>
      </c>
      <c r="M714" s="36">
        <f>M715+M741</f>
        <v>18504.800000000003</v>
      </c>
    </row>
    <row r="715" spans="1:13" s="269" customFormat="1" ht="15">
      <c r="A715" s="127" t="s">
        <v>37</v>
      </c>
      <c r="B715" s="266" t="s">
        <v>28</v>
      </c>
      <c r="C715" s="95" t="s">
        <v>38</v>
      </c>
      <c r="D715" s="67"/>
      <c r="E715" s="67"/>
      <c r="F715" s="67"/>
      <c r="G715" s="67"/>
      <c r="H715" s="67"/>
      <c r="I715" s="36">
        <f>I716</f>
        <v>15604</v>
      </c>
      <c r="J715" s="36">
        <f>J716</f>
        <v>15604</v>
      </c>
      <c r="K715" s="267">
        <f t="shared" si="121"/>
        <v>0</v>
      </c>
      <c r="L715" s="36">
        <f>L716</f>
        <v>15119.6</v>
      </c>
      <c r="M715" s="36">
        <f>M716</f>
        <v>17392.100000000002</v>
      </c>
    </row>
    <row r="716" spans="1:13" ht="15">
      <c r="A716" s="127" t="s">
        <v>51</v>
      </c>
      <c r="B716" s="266" t="s">
        <v>28</v>
      </c>
      <c r="C716" s="95" t="s">
        <v>52</v>
      </c>
      <c r="D716" s="67"/>
      <c r="E716" s="67"/>
      <c r="F716" s="67"/>
      <c r="G716" s="67"/>
      <c r="H716" s="67"/>
      <c r="I716" s="36">
        <f>I717+I722+I733</f>
        <v>15604</v>
      </c>
      <c r="J716" s="36">
        <f>J717+J722+J733</f>
        <v>15604</v>
      </c>
      <c r="K716" s="267">
        <f t="shared" si="121"/>
        <v>0</v>
      </c>
      <c r="L716" s="36">
        <f>L717+L722+L733</f>
        <v>15119.6</v>
      </c>
      <c r="M716" s="36">
        <f>M717+M722+M733</f>
        <v>17392.100000000002</v>
      </c>
    </row>
    <row r="717" spans="1:13" ht="42.75">
      <c r="A717" s="288" t="s">
        <v>331</v>
      </c>
      <c r="B717" s="266" t="s">
        <v>28</v>
      </c>
      <c r="C717" s="95" t="s">
        <v>52</v>
      </c>
      <c r="D717" s="67" t="s">
        <v>300</v>
      </c>
      <c r="E717" s="67" t="s">
        <v>148</v>
      </c>
      <c r="F717" s="67" t="s">
        <v>149</v>
      </c>
      <c r="G717" s="67" t="s">
        <v>150</v>
      </c>
      <c r="H717" s="67"/>
      <c r="I717" s="36">
        <f aca="true" t="shared" si="122" ref="I717:M720">I718</f>
        <v>62.4</v>
      </c>
      <c r="J717" s="36">
        <f t="shared" si="122"/>
        <v>62.4</v>
      </c>
      <c r="K717" s="267">
        <f t="shared" si="121"/>
        <v>0</v>
      </c>
      <c r="L717" s="36">
        <f t="shared" si="122"/>
        <v>62.4</v>
      </c>
      <c r="M717" s="36">
        <f t="shared" si="122"/>
        <v>62.4</v>
      </c>
    </row>
    <row r="718" spans="1:13" ht="33" customHeight="1">
      <c r="A718" s="124" t="s">
        <v>777</v>
      </c>
      <c r="B718" s="266" t="s">
        <v>28</v>
      </c>
      <c r="C718" s="95" t="s">
        <v>52</v>
      </c>
      <c r="D718" s="67" t="s">
        <v>300</v>
      </c>
      <c r="E718" s="67" t="s">
        <v>134</v>
      </c>
      <c r="F718" s="67" t="s">
        <v>149</v>
      </c>
      <c r="G718" s="67" t="s">
        <v>150</v>
      </c>
      <c r="H718" s="67"/>
      <c r="I718" s="36">
        <f t="shared" si="122"/>
        <v>62.4</v>
      </c>
      <c r="J718" s="36">
        <f t="shared" si="122"/>
        <v>62.4</v>
      </c>
      <c r="K718" s="267">
        <f t="shared" si="121"/>
        <v>0</v>
      </c>
      <c r="L718" s="36">
        <f t="shared" si="122"/>
        <v>62.4</v>
      </c>
      <c r="M718" s="36">
        <f t="shared" si="122"/>
        <v>62.4</v>
      </c>
    </row>
    <row r="719" spans="1:13" s="276" customFormat="1" ht="28.5">
      <c r="A719" s="124" t="s">
        <v>778</v>
      </c>
      <c r="B719" s="266" t="s">
        <v>28</v>
      </c>
      <c r="C719" s="95" t="s">
        <v>52</v>
      </c>
      <c r="D719" s="67" t="s">
        <v>300</v>
      </c>
      <c r="E719" s="67" t="s">
        <v>134</v>
      </c>
      <c r="F719" s="67" t="s">
        <v>147</v>
      </c>
      <c r="G719" s="67" t="s">
        <v>150</v>
      </c>
      <c r="H719" s="67"/>
      <c r="I719" s="36">
        <f t="shared" si="122"/>
        <v>62.4</v>
      </c>
      <c r="J719" s="36">
        <f t="shared" si="122"/>
        <v>62.4</v>
      </c>
      <c r="K719" s="267">
        <f t="shared" si="121"/>
        <v>0</v>
      </c>
      <c r="L719" s="36">
        <f t="shared" si="122"/>
        <v>62.4</v>
      </c>
      <c r="M719" s="36">
        <f t="shared" si="122"/>
        <v>62.4</v>
      </c>
    </row>
    <row r="720" spans="1:13" ht="30">
      <c r="A720" s="115" t="s">
        <v>343</v>
      </c>
      <c r="B720" s="270" t="s">
        <v>28</v>
      </c>
      <c r="C720" s="100" t="s">
        <v>52</v>
      </c>
      <c r="D720" s="99" t="s">
        <v>300</v>
      </c>
      <c r="E720" s="99" t="s">
        <v>134</v>
      </c>
      <c r="F720" s="99" t="s">
        <v>147</v>
      </c>
      <c r="G720" s="99" t="s">
        <v>344</v>
      </c>
      <c r="H720" s="99"/>
      <c r="I720" s="74">
        <f t="shared" si="122"/>
        <v>62.4</v>
      </c>
      <c r="J720" s="74">
        <f t="shared" si="122"/>
        <v>62.4</v>
      </c>
      <c r="K720" s="271">
        <f t="shared" si="121"/>
        <v>0</v>
      </c>
      <c r="L720" s="74">
        <f t="shared" si="122"/>
        <v>62.4</v>
      </c>
      <c r="M720" s="74">
        <f t="shared" si="122"/>
        <v>62.4</v>
      </c>
    </row>
    <row r="721" spans="1:13" ht="30">
      <c r="A721" s="111" t="s">
        <v>683</v>
      </c>
      <c r="B721" s="270" t="s">
        <v>28</v>
      </c>
      <c r="C721" s="100" t="s">
        <v>52</v>
      </c>
      <c r="D721" s="99" t="s">
        <v>300</v>
      </c>
      <c r="E721" s="99" t="s">
        <v>134</v>
      </c>
      <c r="F721" s="99" t="s">
        <v>147</v>
      </c>
      <c r="G721" s="99" t="s">
        <v>344</v>
      </c>
      <c r="H721" s="99" t="s">
        <v>682</v>
      </c>
      <c r="I721" s="74">
        <v>62.4</v>
      </c>
      <c r="J721" s="74">
        <v>62.4</v>
      </c>
      <c r="K721" s="271">
        <f t="shared" si="121"/>
        <v>0</v>
      </c>
      <c r="L721" s="74">
        <v>62.4</v>
      </c>
      <c r="M721" s="74">
        <v>62.4</v>
      </c>
    </row>
    <row r="722" spans="1:13" s="269" customFormat="1" ht="28.5">
      <c r="A722" s="127" t="s">
        <v>396</v>
      </c>
      <c r="B722" s="266" t="s">
        <v>28</v>
      </c>
      <c r="C722" s="95" t="s">
        <v>52</v>
      </c>
      <c r="D722" s="95" t="s">
        <v>397</v>
      </c>
      <c r="E722" s="95" t="s">
        <v>148</v>
      </c>
      <c r="F722" s="95" t="s">
        <v>149</v>
      </c>
      <c r="G722" s="95" t="s">
        <v>150</v>
      </c>
      <c r="H722" s="94"/>
      <c r="I722" s="36">
        <f aca="true" t="shared" si="123" ref="I722:M723">I723</f>
        <v>15241.6</v>
      </c>
      <c r="J722" s="36">
        <f t="shared" si="123"/>
        <v>15241.6</v>
      </c>
      <c r="K722" s="267">
        <f>J722-I722</f>
        <v>0</v>
      </c>
      <c r="L722" s="36">
        <f t="shared" si="123"/>
        <v>14846.900000000001</v>
      </c>
      <c r="M722" s="36">
        <f t="shared" si="123"/>
        <v>17101.9</v>
      </c>
    </row>
    <row r="723" spans="1:13" s="269" customFormat="1" ht="28.5">
      <c r="A723" s="124" t="s">
        <v>483</v>
      </c>
      <c r="B723" s="266" t="s">
        <v>28</v>
      </c>
      <c r="C723" s="95" t="s">
        <v>52</v>
      </c>
      <c r="D723" s="67" t="s">
        <v>397</v>
      </c>
      <c r="E723" s="67" t="s">
        <v>134</v>
      </c>
      <c r="F723" s="67" t="s">
        <v>149</v>
      </c>
      <c r="G723" s="67" t="s">
        <v>150</v>
      </c>
      <c r="H723" s="67"/>
      <c r="I723" s="36">
        <f t="shared" si="123"/>
        <v>15241.6</v>
      </c>
      <c r="J723" s="36">
        <f t="shared" si="123"/>
        <v>15241.6</v>
      </c>
      <c r="K723" s="267">
        <f>J723-I723</f>
        <v>0</v>
      </c>
      <c r="L723" s="36">
        <f t="shared" si="123"/>
        <v>14846.900000000001</v>
      </c>
      <c r="M723" s="36">
        <f t="shared" si="123"/>
        <v>17101.9</v>
      </c>
    </row>
    <row r="724" spans="1:13" s="268" customFormat="1" ht="14.25">
      <c r="A724" s="125" t="s">
        <v>399</v>
      </c>
      <c r="B724" s="266" t="s">
        <v>28</v>
      </c>
      <c r="C724" s="95" t="s">
        <v>52</v>
      </c>
      <c r="D724" s="95" t="s">
        <v>397</v>
      </c>
      <c r="E724" s="95" t="s">
        <v>134</v>
      </c>
      <c r="F724" s="95" t="s">
        <v>147</v>
      </c>
      <c r="G724" s="95" t="s">
        <v>150</v>
      </c>
      <c r="H724" s="94"/>
      <c r="I724" s="36">
        <f>I725+I731+I729</f>
        <v>15241.6</v>
      </c>
      <c r="J724" s="36">
        <f>J725+J731+J729</f>
        <v>15241.6</v>
      </c>
      <c r="K724" s="267">
        <f>J724-I724</f>
        <v>0</v>
      </c>
      <c r="L724" s="36">
        <f>L725+L731+L729</f>
        <v>14846.900000000001</v>
      </c>
      <c r="M724" s="36">
        <f>M725+M731+M729</f>
        <v>17101.9</v>
      </c>
    </row>
    <row r="725" spans="1:13" ht="15">
      <c r="A725" s="111" t="s">
        <v>400</v>
      </c>
      <c r="B725" s="270" t="s">
        <v>28</v>
      </c>
      <c r="C725" s="100" t="s">
        <v>52</v>
      </c>
      <c r="D725" s="100" t="s">
        <v>397</v>
      </c>
      <c r="E725" s="100" t="s">
        <v>134</v>
      </c>
      <c r="F725" s="100" t="s">
        <v>147</v>
      </c>
      <c r="G725" s="100" t="s">
        <v>401</v>
      </c>
      <c r="H725" s="117"/>
      <c r="I725" s="74">
        <f>I726+I727+I728</f>
        <v>15241.6</v>
      </c>
      <c r="J725" s="74">
        <f>J726+J727+J728</f>
        <v>15241.6</v>
      </c>
      <c r="K725" s="271">
        <f>J725-I725</f>
        <v>0</v>
      </c>
      <c r="L725" s="74">
        <f>L726+L727+L728</f>
        <v>14846.900000000001</v>
      </c>
      <c r="M725" s="74">
        <f>M726+M727+M728</f>
        <v>17101.9</v>
      </c>
    </row>
    <row r="726" spans="1:13" ht="60">
      <c r="A726" s="111" t="s">
        <v>680</v>
      </c>
      <c r="B726" s="270" t="s">
        <v>28</v>
      </c>
      <c r="C726" s="100" t="s">
        <v>52</v>
      </c>
      <c r="D726" s="100" t="s">
        <v>397</v>
      </c>
      <c r="E726" s="100" t="s">
        <v>134</v>
      </c>
      <c r="F726" s="100" t="s">
        <v>147</v>
      </c>
      <c r="G726" s="100" t="s">
        <v>401</v>
      </c>
      <c r="H726" s="117">
        <v>100</v>
      </c>
      <c r="I726" s="74">
        <v>14619.9</v>
      </c>
      <c r="J726" s="74">
        <f>14619.9-7.5</f>
        <v>14612.4</v>
      </c>
      <c r="K726" s="271">
        <f aca="true" t="shared" si="124" ref="K726:K732">J726-I726</f>
        <v>-7.5</v>
      </c>
      <c r="L726" s="74">
        <f>13325.2+900</f>
        <v>14225.2</v>
      </c>
      <c r="M726" s="74">
        <v>16480.2</v>
      </c>
    </row>
    <row r="727" spans="1:13" ht="30">
      <c r="A727" s="111" t="s">
        <v>683</v>
      </c>
      <c r="B727" s="270" t="s">
        <v>28</v>
      </c>
      <c r="C727" s="100" t="s">
        <v>52</v>
      </c>
      <c r="D727" s="100" t="s">
        <v>397</v>
      </c>
      <c r="E727" s="100" t="s">
        <v>134</v>
      </c>
      <c r="F727" s="100" t="s">
        <v>147</v>
      </c>
      <c r="G727" s="100" t="s">
        <v>401</v>
      </c>
      <c r="H727" s="117">
        <v>200</v>
      </c>
      <c r="I727" s="74">
        <v>621.7</v>
      </c>
      <c r="J727" s="74">
        <v>621.7</v>
      </c>
      <c r="K727" s="271">
        <f t="shared" si="124"/>
        <v>0</v>
      </c>
      <c r="L727" s="74">
        <v>621.7</v>
      </c>
      <c r="M727" s="74">
        <v>621.7</v>
      </c>
    </row>
    <row r="728" spans="1:13" ht="15">
      <c r="A728" s="111" t="s">
        <v>684</v>
      </c>
      <c r="B728" s="270" t="s">
        <v>28</v>
      </c>
      <c r="C728" s="100" t="s">
        <v>52</v>
      </c>
      <c r="D728" s="100" t="s">
        <v>397</v>
      </c>
      <c r="E728" s="100" t="s">
        <v>134</v>
      </c>
      <c r="F728" s="100" t="s">
        <v>147</v>
      </c>
      <c r="G728" s="100" t="s">
        <v>401</v>
      </c>
      <c r="H728" s="117">
        <v>800</v>
      </c>
      <c r="I728" s="74"/>
      <c r="J728" s="74">
        <v>7.5</v>
      </c>
      <c r="K728" s="271">
        <f t="shared" si="124"/>
        <v>7.5</v>
      </c>
      <c r="L728" s="74"/>
      <c r="M728" s="74"/>
    </row>
    <row r="729" spans="1:13" ht="45" hidden="1">
      <c r="A729" s="111" t="s">
        <v>986</v>
      </c>
      <c r="B729" s="270">
        <v>112</v>
      </c>
      <c r="C729" s="100" t="s">
        <v>52</v>
      </c>
      <c r="D729" s="100" t="s">
        <v>397</v>
      </c>
      <c r="E729" s="100" t="s">
        <v>134</v>
      </c>
      <c r="F729" s="100" t="s">
        <v>147</v>
      </c>
      <c r="G729" s="100" t="s">
        <v>987</v>
      </c>
      <c r="H729" s="117"/>
      <c r="I729" s="74"/>
      <c r="J729" s="74">
        <f>J730</f>
        <v>0</v>
      </c>
      <c r="K729" s="271">
        <f t="shared" si="124"/>
        <v>0</v>
      </c>
      <c r="L729" s="74">
        <f>L730</f>
        <v>0</v>
      </c>
      <c r="M729" s="74">
        <f>M730</f>
        <v>0</v>
      </c>
    </row>
    <row r="730" spans="1:13" ht="30" hidden="1">
      <c r="A730" s="111" t="s">
        <v>683</v>
      </c>
      <c r="B730" s="270">
        <v>112</v>
      </c>
      <c r="C730" s="100" t="s">
        <v>52</v>
      </c>
      <c r="D730" s="100" t="s">
        <v>397</v>
      </c>
      <c r="E730" s="100" t="s">
        <v>134</v>
      </c>
      <c r="F730" s="100" t="s">
        <v>147</v>
      </c>
      <c r="G730" s="100" t="s">
        <v>987</v>
      </c>
      <c r="H730" s="117">
        <v>200</v>
      </c>
      <c r="I730" s="74"/>
      <c r="J730" s="74"/>
      <c r="K730" s="271">
        <f t="shared" si="124"/>
        <v>0</v>
      </c>
      <c r="L730" s="74"/>
      <c r="M730" s="74"/>
    </row>
    <row r="731" spans="1:13" ht="30" hidden="1">
      <c r="A731" s="109" t="s">
        <v>417</v>
      </c>
      <c r="B731" s="270">
        <v>112</v>
      </c>
      <c r="C731" s="100" t="s">
        <v>52</v>
      </c>
      <c r="D731" s="100" t="s">
        <v>397</v>
      </c>
      <c r="E731" s="100" t="s">
        <v>134</v>
      </c>
      <c r="F731" s="100" t="s">
        <v>147</v>
      </c>
      <c r="G731" s="100" t="s">
        <v>418</v>
      </c>
      <c r="H731" s="117"/>
      <c r="I731" s="74"/>
      <c r="J731" s="74">
        <f>J732</f>
        <v>0</v>
      </c>
      <c r="K731" s="271">
        <f t="shared" si="124"/>
        <v>0</v>
      </c>
      <c r="L731" s="74">
        <f>L732</f>
        <v>0</v>
      </c>
      <c r="M731" s="74">
        <f>M732</f>
        <v>0</v>
      </c>
    </row>
    <row r="732" spans="1:13" ht="60" hidden="1">
      <c r="A732" s="109" t="s">
        <v>680</v>
      </c>
      <c r="B732" s="270">
        <v>112</v>
      </c>
      <c r="C732" s="100" t="s">
        <v>52</v>
      </c>
      <c r="D732" s="100" t="s">
        <v>397</v>
      </c>
      <c r="E732" s="100" t="s">
        <v>134</v>
      </c>
      <c r="F732" s="100" t="s">
        <v>147</v>
      </c>
      <c r="G732" s="100" t="s">
        <v>418</v>
      </c>
      <c r="H732" s="117">
        <v>100</v>
      </c>
      <c r="I732" s="74"/>
      <c r="J732" s="74">
        <f>524.1-524.1</f>
        <v>0</v>
      </c>
      <c r="K732" s="271">
        <f t="shared" si="124"/>
        <v>0</v>
      </c>
      <c r="L732" s="74">
        <f>524.1-524.1</f>
        <v>0</v>
      </c>
      <c r="M732" s="74">
        <f>524.1-524.1</f>
        <v>0</v>
      </c>
    </row>
    <row r="733" spans="1:13" s="269" customFormat="1" ht="15">
      <c r="A733" s="127" t="s">
        <v>424</v>
      </c>
      <c r="B733" s="266" t="s">
        <v>28</v>
      </c>
      <c r="C733" s="95" t="s">
        <v>52</v>
      </c>
      <c r="D733" s="95" t="s">
        <v>425</v>
      </c>
      <c r="E733" s="95" t="s">
        <v>148</v>
      </c>
      <c r="F733" s="95" t="s">
        <v>149</v>
      </c>
      <c r="G733" s="95" t="s">
        <v>150</v>
      </c>
      <c r="H733" s="94"/>
      <c r="I733" s="36">
        <f aca="true" t="shared" si="125" ref="I733:M734">I734</f>
        <v>300</v>
      </c>
      <c r="J733" s="36">
        <f t="shared" si="125"/>
        <v>300</v>
      </c>
      <c r="K733" s="267">
        <f>J733-I733</f>
        <v>0</v>
      </c>
      <c r="L733" s="36">
        <f t="shared" si="125"/>
        <v>210.3</v>
      </c>
      <c r="M733" s="36">
        <f t="shared" si="125"/>
        <v>227.8</v>
      </c>
    </row>
    <row r="734" spans="1:13" s="269" customFormat="1" ht="15">
      <c r="A734" s="124" t="s">
        <v>399</v>
      </c>
      <c r="B734" s="266" t="s">
        <v>28</v>
      </c>
      <c r="C734" s="95" t="s">
        <v>52</v>
      </c>
      <c r="D734" s="67" t="s">
        <v>425</v>
      </c>
      <c r="E734" s="67" t="s">
        <v>329</v>
      </c>
      <c r="F734" s="67" t="s">
        <v>149</v>
      </c>
      <c r="G734" s="67" t="s">
        <v>150</v>
      </c>
      <c r="H734" s="67"/>
      <c r="I734" s="36">
        <f t="shared" si="125"/>
        <v>300</v>
      </c>
      <c r="J734" s="36">
        <f t="shared" si="125"/>
        <v>300</v>
      </c>
      <c r="K734" s="267">
        <f>J734-I734</f>
        <v>0</v>
      </c>
      <c r="L734" s="36">
        <f t="shared" si="125"/>
        <v>210.3</v>
      </c>
      <c r="M734" s="36">
        <f t="shared" si="125"/>
        <v>227.8</v>
      </c>
    </row>
    <row r="735" spans="1:13" s="276" customFormat="1" ht="14.25">
      <c r="A735" s="125" t="s">
        <v>399</v>
      </c>
      <c r="B735" s="266" t="s">
        <v>28</v>
      </c>
      <c r="C735" s="95" t="s">
        <v>52</v>
      </c>
      <c r="D735" s="95" t="s">
        <v>425</v>
      </c>
      <c r="E735" s="95" t="s">
        <v>329</v>
      </c>
      <c r="F735" s="95" t="s">
        <v>147</v>
      </c>
      <c r="G735" s="95" t="s">
        <v>150</v>
      </c>
      <c r="H735" s="94"/>
      <c r="I735" s="36">
        <f>I736+I738</f>
        <v>300</v>
      </c>
      <c r="J735" s="36">
        <f>J736+J738</f>
        <v>300</v>
      </c>
      <c r="K735" s="267">
        <f>J735-I735</f>
        <v>0</v>
      </c>
      <c r="L735" s="36">
        <f>L736+L738</f>
        <v>210.3</v>
      </c>
      <c r="M735" s="36">
        <f>M736+M738</f>
        <v>227.8</v>
      </c>
    </row>
    <row r="736" spans="1:13" ht="30">
      <c r="A736" s="111" t="s">
        <v>432</v>
      </c>
      <c r="B736" s="270" t="s">
        <v>28</v>
      </c>
      <c r="C736" s="100" t="s">
        <v>52</v>
      </c>
      <c r="D736" s="100" t="s">
        <v>425</v>
      </c>
      <c r="E736" s="100" t="s">
        <v>329</v>
      </c>
      <c r="F736" s="100" t="s">
        <v>147</v>
      </c>
      <c r="G736" s="100" t="s">
        <v>433</v>
      </c>
      <c r="H736" s="117"/>
      <c r="I736" s="74">
        <f>I737</f>
        <v>300</v>
      </c>
      <c r="J736" s="74">
        <f>J737</f>
        <v>300</v>
      </c>
      <c r="K736" s="271">
        <f>J736-I736</f>
        <v>0</v>
      </c>
      <c r="L736" s="74">
        <f>L737</f>
        <v>210.3</v>
      </c>
      <c r="M736" s="74">
        <f>M737</f>
        <v>227.8</v>
      </c>
    </row>
    <row r="737" spans="1:13" ht="30">
      <c r="A737" s="111" t="s">
        <v>683</v>
      </c>
      <c r="B737" s="270" t="s">
        <v>28</v>
      </c>
      <c r="C737" s="100" t="s">
        <v>52</v>
      </c>
      <c r="D737" s="100" t="s">
        <v>425</v>
      </c>
      <c r="E737" s="100" t="s">
        <v>329</v>
      </c>
      <c r="F737" s="100" t="s">
        <v>147</v>
      </c>
      <c r="G737" s="100" t="s">
        <v>433</v>
      </c>
      <c r="H737" s="117">
        <v>200</v>
      </c>
      <c r="I737" s="74">
        <v>300</v>
      </c>
      <c r="J737" s="74">
        <v>300</v>
      </c>
      <c r="K737" s="271">
        <f>J737-I737</f>
        <v>0</v>
      </c>
      <c r="L737" s="74">
        <f>300-89.7</f>
        <v>210.3</v>
      </c>
      <c r="M737" s="74">
        <f>300-72.2</f>
        <v>227.8</v>
      </c>
    </row>
    <row r="738" spans="1:13" ht="15" hidden="1">
      <c r="A738" s="111" t="s">
        <v>491</v>
      </c>
      <c r="B738" s="270" t="s">
        <v>28</v>
      </c>
      <c r="C738" s="100" t="s">
        <v>52</v>
      </c>
      <c r="D738" s="100" t="s">
        <v>425</v>
      </c>
      <c r="E738" s="100" t="s">
        <v>329</v>
      </c>
      <c r="F738" s="100" t="s">
        <v>147</v>
      </c>
      <c r="G738" s="100" t="s">
        <v>435</v>
      </c>
      <c r="H738" s="117"/>
      <c r="I738" s="74"/>
      <c r="J738" s="74">
        <f>J739+J740</f>
        <v>0</v>
      </c>
      <c r="K738" s="271">
        <f aca="true" t="shared" si="126" ref="K738:K748">J738-I738</f>
        <v>0</v>
      </c>
      <c r="L738" s="74">
        <f>L739+L740</f>
        <v>0</v>
      </c>
      <c r="M738" s="74">
        <f>M739+M740</f>
        <v>0</v>
      </c>
    </row>
    <row r="739" spans="1:13" ht="30" hidden="1">
      <c r="A739" s="111" t="s">
        <v>683</v>
      </c>
      <c r="B739" s="270" t="s">
        <v>28</v>
      </c>
      <c r="C739" s="100" t="s">
        <v>52</v>
      </c>
      <c r="D739" s="100" t="s">
        <v>425</v>
      </c>
      <c r="E739" s="100" t="s">
        <v>329</v>
      </c>
      <c r="F739" s="100" t="s">
        <v>147</v>
      </c>
      <c r="G739" s="100" t="s">
        <v>435</v>
      </c>
      <c r="H739" s="117">
        <v>200</v>
      </c>
      <c r="I739" s="74"/>
      <c r="J739" s="74"/>
      <c r="K739" s="271">
        <f t="shared" si="126"/>
        <v>0</v>
      </c>
      <c r="L739" s="74"/>
      <c r="M739" s="74"/>
    </row>
    <row r="740" spans="1:13" ht="15" hidden="1">
      <c r="A740" s="111" t="s">
        <v>684</v>
      </c>
      <c r="B740" s="270" t="s">
        <v>28</v>
      </c>
      <c r="C740" s="100" t="s">
        <v>52</v>
      </c>
      <c r="D740" s="100" t="s">
        <v>425</v>
      </c>
      <c r="E740" s="100" t="s">
        <v>329</v>
      </c>
      <c r="F740" s="100" t="s">
        <v>147</v>
      </c>
      <c r="G740" s="100" t="s">
        <v>435</v>
      </c>
      <c r="H740" s="117">
        <v>800</v>
      </c>
      <c r="I740" s="74"/>
      <c r="J740" s="256"/>
      <c r="K740" s="271">
        <f t="shared" si="126"/>
        <v>0</v>
      </c>
      <c r="L740" s="74"/>
      <c r="M740" s="74"/>
    </row>
    <row r="741" spans="1:13" ht="15">
      <c r="A741" s="127" t="s">
        <v>57</v>
      </c>
      <c r="B741" s="266">
        <v>112</v>
      </c>
      <c r="C741" s="95" t="s">
        <v>58</v>
      </c>
      <c r="D741" s="95"/>
      <c r="E741" s="95"/>
      <c r="F741" s="95"/>
      <c r="G741" s="95"/>
      <c r="H741" s="94"/>
      <c r="I741" s="36">
        <f>I742+I748</f>
        <v>3190</v>
      </c>
      <c r="J741" s="36">
        <f>J742+J748</f>
        <v>2997</v>
      </c>
      <c r="K741" s="267">
        <f t="shared" si="126"/>
        <v>-193</v>
      </c>
      <c r="L741" s="36">
        <f>L742+L748</f>
        <v>197.7</v>
      </c>
      <c r="M741" s="36">
        <f>M742+M748</f>
        <v>1112.7</v>
      </c>
    </row>
    <row r="742" spans="1:13" ht="15">
      <c r="A742" s="125" t="s">
        <v>63</v>
      </c>
      <c r="B742" s="266">
        <v>112</v>
      </c>
      <c r="C742" s="95" t="s">
        <v>64</v>
      </c>
      <c r="D742" s="95"/>
      <c r="E742" s="95"/>
      <c r="F742" s="95"/>
      <c r="G742" s="95"/>
      <c r="H742" s="94"/>
      <c r="I742" s="36">
        <f aca="true" t="shared" si="127" ref="I742:M746">I743</f>
        <v>500</v>
      </c>
      <c r="J742" s="36">
        <f t="shared" si="127"/>
        <v>500</v>
      </c>
      <c r="K742" s="267">
        <f t="shared" si="126"/>
        <v>0</v>
      </c>
      <c r="L742" s="36">
        <f t="shared" si="127"/>
        <v>0</v>
      </c>
      <c r="M742" s="36">
        <f t="shared" si="127"/>
        <v>500</v>
      </c>
    </row>
    <row r="743" spans="1:13" s="276" customFormat="1" ht="71.25">
      <c r="A743" s="127" t="s">
        <v>834</v>
      </c>
      <c r="B743" s="266">
        <v>112</v>
      </c>
      <c r="C743" s="95" t="s">
        <v>64</v>
      </c>
      <c r="D743" s="95" t="s">
        <v>147</v>
      </c>
      <c r="E743" s="95" t="s">
        <v>148</v>
      </c>
      <c r="F743" s="95" t="s">
        <v>149</v>
      </c>
      <c r="G743" s="95" t="s">
        <v>150</v>
      </c>
      <c r="H743" s="94"/>
      <c r="I743" s="36">
        <f t="shared" si="127"/>
        <v>500</v>
      </c>
      <c r="J743" s="36">
        <f t="shared" si="127"/>
        <v>500</v>
      </c>
      <c r="K743" s="267">
        <f t="shared" si="126"/>
        <v>0</v>
      </c>
      <c r="L743" s="36">
        <f t="shared" si="127"/>
        <v>0</v>
      </c>
      <c r="M743" s="36">
        <f t="shared" si="127"/>
        <v>500</v>
      </c>
    </row>
    <row r="744" spans="1:13" s="276" customFormat="1" ht="28.5">
      <c r="A744" s="124" t="s">
        <v>835</v>
      </c>
      <c r="B744" s="266">
        <v>112</v>
      </c>
      <c r="C744" s="95" t="s">
        <v>64</v>
      </c>
      <c r="D744" s="95" t="s">
        <v>147</v>
      </c>
      <c r="E744" s="95" t="s">
        <v>135</v>
      </c>
      <c r="F744" s="95" t="s">
        <v>149</v>
      </c>
      <c r="G744" s="95" t="s">
        <v>150</v>
      </c>
      <c r="H744" s="94"/>
      <c r="I744" s="36">
        <f t="shared" si="127"/>
        <v>500</v>
      </c>
      <c r="J744" s="36">
        <f t="shared" si="127"/>
        <v>500</v>
      </c>
      <c r="K744" s="267">
        <f t="shared" si="126"/>
        <v>0</v>
      </c>
      <c r="L744" s="36">
        <f t="shared" si="127"/>
        <v>0</v>
      </c>
      <c r="M744" s="36">
        <f t="shared" si="127"/>
        <v>500</v>
      </c>
    </row>
    <row r="745" spans="1:13" s="276" customFormat="1" ht="28.5">
      <c r="A745" s="125" t="s">
        <v>836</v>
      </c>
      <c r="B745" s="266">
        <v>112</v>
      </c>
      <c r="C745" s="95" t="s">
        <v>64</v>
      </c>
      <c r="D745" s="95" t="s">
        <v>147</v>
      </c>
      <c r="E745" s="95" t="s">
        <v>135</v>
      </c>
      <c r="F745" s="95" t="s">
        <v>160</v>
      </c>
      <c r="G745" s="95" t="s">
        <v>150</v>
      </c>
      <c r="H745" s="94"/>
      <c r="I745" s="36">
        <f t="shared" si="127"/>
        <v>500</v>
      </c>
      <c r="J745" s="36">
        <f t="shared" si="127"/>
        <v>500</v>
      </c>
      <c r="K745" s="267">
        <f t="shared" si="126"/>
        <v>0</v>
      </c>
      <c r="L745" s="36">
        <f t="shared" si="127"/>
        <v>0</v>
      </c>
      <c r="M745" s="36">
        <f t="shared" si="127"/>
        <v>500</v>
      </c>
    </row>
    <row r="746" spans="1:13" ht="15">
      <c r="A746" s="111" t="s">
        <v>374</v>
      </c>
      <c r="B746" s="270">
        <v>112</v>
      </c>
      <c r="C746" s="100" t="s">
        <v>64</v>
      </c>
      <c r="D746" s="100" t="s">
        <v>147</v>
      </c>
      <c r="E746" s="100" t="s">
        <v>135</v>
      </c>
      <c r="F746" s="100" t="s">
        <v>160</v>
      </c>
      <c r="G746" s="100" t="s">
        <v>375</v>
      </c>
      <c r="H746" s="117"/>
      <c r="I746" s="74">
        <f t="shared" si="127"/>
        <v>500</v>
      </c>
      <c r="J746" s="74">
        <f t="shared" si="127"/>
        <v>500</v>
      </c>
      <c r="K746" s="271">
        <f t="shared" si="126"/>
        <v>0</v>
      </c>
      <c r="L746" s="74">
        <f t="shared" si="127"/>
        <v>0</v>
      </c>
      <c r="M746" s="74">
        <f t="shared" si="127"/>
        <v>500</v>
      </c>
    </row>
    <row r="747" spans="1:13" ht="30">
      <c r="A747" s="111" t="s">
        <v>683</v>
      </c>
      <c r="B747" s="270">
        <v>112</v>
      </c>
      <c r="C747" s="100" t="s">
        <v>64</v>
      </c>
      <c r="D747" s="100" t="s">
        <v>147</v>
      </c>
      <c r="E747" s="100" t="s">
        <v>135</v>
      </c>
      <c r="F747" s="100" t="s">
        <v>160</v>
      </c>
      <c r="G747" s="100" t="s">
        <v>375</v>
      </c>
      <c r="H747" s="117">
        <v>200</v>
      </c>
      <c r="I747" s="74">
        <v>500</v>
      </c>
      <c r="J747" s="74">
        <v>500</v>
      </c>
      <c r="K747" s="271">
        <f t="shared" si="126"/>
        <v>0</v>
      </c>
      <c r="L747" s="74"/>
      <c r="M747" s="74">
        <v>500</v>
      </c>
    </row>
    <row r="748" spans="1:13" s="276" customFormat="1" ht="14.25">
      <c r="A748" s="127" t="s">
        <v>67</v>
      </c>
      <c r="B748" s="266">
        <v>112</v>
      </c>
      <c r="C748" s="95" t="s">
        <v>68</v>
      </c>
      <c r="D748" s="95"/>
      <c r="E748" s="95"/>
      <c r="F748" s="95"/>
      <c r="G748" s="95"/>
      <c r="H748" s="94"/>
      <c r="I748" s="36">
        <f>I759+I749+I754</f>
        <v>2690</v>
      </c>
      <c r="J748" s="36">
        <f>J759+J749+J754</f>
        <v>2497</v>
      </c>
      <c r="K748" s="267">
        <f t="shared" si="126"/>
        <v>-193</v>
      </c>
      <c r="L748" s="36">
        <f>L759+L749+L754</f>
        <v>197.7</v>
      </c>
      <c r="M748" s="36">
        <f>M759+M749+M754</f>
        <v>612.7</v>
      </c>
    </row>
    <row r="749" spans="1:13" s="276" customFormat="1" ht="42.75">
      <c r="A749" s="110" t="s">
        <v>287</v>
      </c>
      <c r="B749" s="266">
        <v>112</v>
      </c>
      <c r="C749" s="95" t="s">
        <v>68</v>
      </c>
      <c r="D749" s="95" t="s">
        <v>288</v>
      </c>
      <c r="E749" s="95" t="s">
        <v>148</v>
      </c>
      <c r="F749" s="95" t="s">
        <v>149</v>
      </c>
      <c r="G749" s="95" t="s">
        <v>150</v>
      </c>
      <c r="H749" s="94"/>
      <c r="I749" s="36">
        <f aca="true" t="shared" si="128" ref="I749:J752">I750</f>
        <v>0</v>
      </c>
      <c r="J749" s="36">
        <f t="shared" si="128"/>
        <v>0</v>
      </c>
      <c r="K749" s="267">
        <f aca="true" t="shared" si="129" ref="K749:K763">J749-I749</f>
        <v>0</v>
      </c>
      <c r="L749" s="36">
        <f aca="true" t="shared" si="130" ref="L749:M752">L750</f>
        <v>89.7</v>
      </c>
      <c r="M749" s="36">
        <f t="shared" si="130"/>
        <v>72.2</v>
      </c>
    </row>
    <row r="750" spans="1:13" s="276" customFormat="1" ht="42.75">
      <c r="A750" s="97" t="s">
        <v>771</v>
      </c>
      <c r="B750" s="266">
        <v>112</v>
      </c>
      <c r="C750" s="95" t="s">
        <v>68</v>
      </c>
      <c r="D750" s="95" t="s">
        <v>288</v>
      </c>
      <c r="E750" s="95" t="s">
        <v>131</v>
      </c>
      <c r="F750" s="95" t="s">
        <v>149</v>
      </c>
      <c r="G750" s="95" t="s">
        <v>150</v>
      </c>
      <c r="H750" s="94"/>
      <c r="I750" s="36">
        <f t="shared" si="128"/>
        <v>0</v>
      </c>
      <c r="J750" s="36">
        <f t="shared" si="128"/>
        <v>0</v>
      </c>
      <c r="K750" s="267">
        <f t="shared" si="129"/>
        <v>0</v>
      </c>
      <c r="L750" s="36">
        <f t="shared" si="130"/>
        <v>89.7</v>
      </c>
      <c r="M750" s="36">
        <f t="shared" si="130"/>
        <v>72.2</v>
      </c>
    </row>
    <row r="751" spans="1:13" s="276" customFormat="1" ht="33.75" customHeight="1">
      <c r="A751" s="127" t="s">
        <v>974</v>
      </c>
      <c r="B751" s="266">
        <v>112</v>
      </c>
      <c r="C751" s="95" t="s">
        <v>68</v>
      </c>
      <c r="D751" s="95" t="s">
        <v>288</v>
      </c>
      <c r="E751" s="95" t="s">
        <v>131</v>
      </c>
      <c r="F751" s="95" t="s">
        <v>147</v>
      </c>
      <c r="G751" s="95" t="s">
        <v>150</v>
      </c>
      <c r="H751" s="94"/>
      <c r="I751" s="36">
        <f t="shared" si="128"/>
        <v>0</v>
      </c>
      <c r="J751" s="36">
        <f t="shared" si="128"/>
        <v>0</v>
      </c>
      <c r="K751" s="267">
        <f t="shared" si="129"/>
        <v>0</v>
      </c>
      <c r="L751" s="36">
        <f t="shared" si="130"/>
        <v>89.7</v>
      </c>
      <c r="M751" s="36">
        <f t="shared" si="130"/>
        <v>72.2</v>
      </c>
    </row>
    <row r="752" spans="1:13" ht="30">
      <c r="A752" s="109" t="s">
        <v>975</v>
      </c>
      <c r="B752" s="270">
        <v>112</v>
      </c>
      <c r="C752" s="100" t="s">
        <v>68</v>
      </c>
      <c r="D752" s="100" t="s">
        <v>288</v>
      </c>
      <c r="E752" s="100" t="s">
        <v>131</v>
      </c>
      <c r="F752" s="100" t="s">
        <v>147</v>
      </c>
      <c r="G752" s="100" t="s">
        <v>976</v>
      </c>
      <c r="H752" s="117"/>
      <c r="I752" s="74">
        <f t="shared" si="128"/>
        <v>0</v>
      </c>
      <c r="J752" s="74">
        <f t="shared" si="128"/>
        <v>0</v>
      </c>
      <c r="K752" s="271">
        <f t="shared" si="129"/>
        <v>0</v>
      </c>
      <c r="L752" s="74">
        <f t="shared" si="130"/>
        <v>89.7</v>
      </c>
      <c r="M752" s="74">
        <f t="shared" si="130"/>
        <v>72.2</v>
      </c>
    </row>
    <row r="753" spans="1:13" ht="30">
      <c r="A753" s="111" t="s">
        <v>683</v>
      </c>
      <c r="B753" s="270">
        <v>112</v>
      </c>
      <c r="C753" s="100" t="s">
        <v>68</v>
      </c>
      <c r="D753" s="100" t="s">
        <v>288</v>
      </c>
      <c r="E753" s="100" t="s">
        <v>131</v>
      </c>
      <c r="F753" s="100" t="s">
        <v>147</v>
      </c>
      <c r="G753" s="100" t="s">
        <v>976</v>
      </c>
      <c r="H753" s="117">
        <v>200</v>
      </c>
      <c r="I753" s="74"/>
      <c r="J753" s="74"/>
      <c r="K753" s="271">
        <f t="shared" si="129"/>
        <v>0</v>
      </c>
      <c r="L753" s="74">
        <v>89.7</v>
      </c>
      <c r="M753" s="74">
        <v>72.2</v>
      </c>
    </row>
    <row r="754" spans="1:13" ht="46.5" customHeight="1">
      <c r="A754" s="125" t="s">
        <v>331</v>
      </c>
      <c r="B754" s="266">
        <v>112</v>
      </c>
      <c r="C754" s="95" t="s">
        <v>68</v>
      </c>
      <c r="D754" s="67" t="s">
        <v>300</v>
      </c>
      <c r="E754" s="67" t="s">
        <v>148</v>
      </c>
      <c r="F754" s="67" t="s">
        <v>149</v>
      </c>
      <c r="G754" s="67" t="s">
        <v>150</v>
      </c>
      <c r="H754" s="117"/>
      <c r="I754" s="36">
        <f aca="true" t="shared" si="131" ref="I754:M757">I755</f>
        <v>2640</v>
      </c>
      <c r="J754" s="36">
        <f t="shared" si="131"/>
        <v>2447</v>
      </c>
      <c r="K754" s="267">
        <f t="shared" si="129"/>
        <v>-193</v>
      </c>
      <c r="L754" s="36">
        <f t="shared" si="131"/>
        <v>108</v>
      </c>
      <c r="M754" s="36">
        <f t="shared" si="131"/>
        <v>140.5</v>
      </c>
    </row>
    <row r="755" spans="1:13" ht="48" customHeight="1">
      <c r="A755" s="127" t="s">
        <v>880</v>
      </c>
      <c r="B755" s="266">
        <v>112</v>
      </c>
      <c r="C755" s="95" t="s">
        <v>68</v>
      </c>
      <c r="D755" s="67" t="s">
        <v>300</v>
      </c>
      <c r="E755" s="67" t="s">
        <v>131</v>
      </c>
      <c r="F755" s="67" t="s">
        <v>149</v>
      </c>
      <c r="G755" s="67" t="s">
        <v>150</v>
      </c>
      <c r="H755" s="117"/>
      <c r="I755" s="36">
        <f t="shared" si="131"/>
        <v>2640</v>
      </c>
      <c r="J755" s="36">
        <f t="shared" si="131"/>
        <v>2447</v>
      </c>
      <c r="K755" s="267">
        <f t="shared" si="129"/>
        <v>-193</v>
      </c>
      <c r="L755" s="36">
        <f t="shared" si="131"/>
        <v>108</v>
      </c>
      <c r="M755" s="36">
        <f t="shared" si="131"/>
        <v>140.5</v>
      </c>
    </row>
    <row r="756" spans="1:13" ht="28.5">
      <c r="A756" s="127" t="s">
        <v>842</v>
      </c>
      <c r="B756" s="266">
        <v>112</v>
      </c>
      <c r="C756" s="95" t="s">
        <v>68</v>
      </c>
      <c r="D756" s="67" t="s">
        <v>300</v>
      </c>
      <c r="E756" s="67" t="s">
        <v>131</v>
      </c>
      <c r="F756" s="67" t="s">
        <v>288</v>
      </c>
      <c r="G756" s="67" t="s">
        <v>150</v>
      </c>
      <c r="H756" s="117"/>
      <c r="I756" s="36">
        <f t="shared" si="131"/>
        <v>2640</v>
      </c>
      <c r="J756" s="36">
        <f t="shared" si="131"/>
        <v>2447</v>
      </c>
      <c r="K756" s="267">
        <f t="shared" si="129"/>
        <v>-193</v>
      </c>
      <c r="L756" s="36">
        <f t="shared" si="131"/>
        <v>108</v>
      </c>
      <c r="M756" s="36">
        <f t="shared" si="131"/>
        <v>140.5</v>
      </c>
    </row>
    <row r="757" spans="1:13" ht="15">
      <c r="A757" s="111" t="s">
        <v>1041</v>
      </c>
      <c r="B757" s="270">
        <v>112</v>
      </c>
      <c r="C757" s="100" t="s">
        <v>68</v>
      </c>
      <c r="D757" s="100" t="s">
        <v>300</v>
      </c>
      <c r="E757" s="100" t="s">
        <v>131</v>
      </c>
      <c r="F757" s="100" t="s">
        <v>288</v>
      </c>
      <c r="G757" s="100" t="s">
        <v>1042</v>
      </c>
      <c r="H757" s="117"/>
      <c r="I757" s="74">
        <f t="shared" si="131"/>
        <v>2640</v>
      </c>
      <c r="J757" s="74">
        <f t="shared" si="131"/>
        <v>2447</v>
      </c>
      <c r="K757" s="271">
        <f t="shared" si="129"/>
        <v>-193</v>
      </c>
      <c r="L757" s="74">
        <f t="shared" si="131"/>
        <v>108</v>
      </c>
      <c r="M757" s="74">
        <f t="shared" si="131"/>
        <v>140.5</v>
      </c>
    </row>
    <row r="758" spans="1:13" ht="30">
      <c r="A758" s="111" t="s">
        <v>683</v>
      </c>
      <c r="B758" s="270">
        <v>112</v>
      </c>
      <c r="C758" s="100" t="s">
        <v>68</v>
      </c>
      <c r="D758" s="100" t="s">
        <v>300</v>
      </c>
      <c r="E758" s="100" t="s">
        <v>131</v>
      </c>
      <c r="F758" s="100" t="s">
        <v>288</v>
      </c>
      <c r="G758" s="100" t="s">
        <v>1042</v>
      </c>
      <c r="H758" s="117">
        <v>200</v>
      </c>
      <c r="I758" s="74">
        <f>264+2376</f>
        <v>2640</v>
      </c>
      <c r="J758" s="74">
        <f>264+2376-193</f>
        <v>2447</v>
      </c>
      <c r="K758" s="271">
        <f t="shared" si="129"/>
        <v>-193</v>
      </c>
      <c r="L758" s="74">
        <v>108</v>
      </c>
      <c r="M758" s="74">
        <v>140.5</v>
      </c>
    </row>
    <row r="759" spans="1:13" s="276" customFormat="1" ht="14.25">
      <c r="A759" s="127" t="s">
        <v>424</v>
      </c>
      <c r="B759" s="266">
        <v>112</v>
      </c>
      <c r="C759" s="95" t="s">
        <v>68</v>
      </c>
      <c r="D759" s="95" t="s">
        <v>425</v>
      </c>
      <c r="E759" s="95" t="s">
        <v>148</v>
      </c>
      <c r="F759" s="95" t="s">
        <v>149</v>
      </c>
      <c r="G759" s="95" t="s">
        <v>150</v>
      </c>
      <c r="H759" s="94"/>
      <c r="I759" s="36">
        <f aca="true" t="shared" si="132" ref="I759:M762">I760</f>
        <v>50</v>
      </c>
      <c r="J759" s="36">
        <f t="shared" si="132"/>
        <v>50</v>
      </c>
      <c r="K759" s="267">
        <f t="shared" si="129"/>
        <v>0</v>
      </c>
      <c r="L759" s="36">
        <f t="shared" si="132"/>
        <v>0</v>
      </c>
      <c r="M759" s="36">
        <f t="shared" si="132"/>
        <v>400</v>
      </c>
    </row>
    <row r="760" spans="1:13" s="276" customFormat="1" ht="14.25">
      <c r="A760" s="124" t="s">
        <v>399</v>
      </c>
      <c r="B760" s="266">
        <v>112</v>
      </c>
      <c r="C760" s="95" t="s">
        <v>68</v>
      </c>
      <c r="D760" s="95" t="s">
        <v>425</v>
      </c>
      <c r="E760" s="95" t="s">
        <v>329</v>
      </c>
      <c r="F760" s="95" t="s">
        <v>149</v>
      </c>
      <c r="G760" s="95" t="s">
        <v>150</v>
      </c>
      <c r="H760" s="94"/>
      <c r="I760" s="36">
        <f t="shared" si="132"/>
        <v>50</v>
      </c>
      <c r="J760" s="36">
        <f t="shared" si="132"/>
        <v>50</v>
      </c>
      <c r="K760" s="267">
        <f t="shared" si="129"/>
        <v>0</v>
      </c>
      <c r="L760" s="36">
        <f t="shared" si="132"/>
        <v>0</v>
      </c>
      <c r="M760" s="36">
        <f t="shared" si="132"/>
        <v>400</v>
      </c>
    </row>
    <row r="761" spans="1:13" s="276" customFormat="1" ht="14.25">
      <c r="A761" s="125" t="s">
        <v>399</v>
      </c>
      <c r="B761" s="266">
        <v>112</v>
      </c>
      <c r="C761" s="95" t="s">
        <v>68</v>
      </c>
      <c r="D761" s="95" t="s">
        <v>425</v>
      </c>
      <c r="E761" s="95" t="s">
        <v>329</v>
      </c>
      <c r="F761" s="95" t="s">
        <v>147</v>
      </c>
      <c r="G761" s="95" t="s">
        <v>150</v>
      </c>
      <c r="H761" s="94"/>
      <c r="I761" s="36">
        <f t="shared" si="132"/>
        <v>50</v>
      </c>
      <c r="J761" s="36">
        <f t="shared" si="132"/>
        <v>50</v>
      </c>
      <c r="K761" s="267">
        <f t="shared" si="129"/>
        <v>0</v>
      </c>
      <c r="L761" s="36">
        <f t="shared" si="132"/>
        <v>0</v>
      </c>
      <c r="M761" s="36">
        <f t="shared" si="132"/>
        <v>400</v>
      </c>
    </row>
    <row r="762" spans="1:13" ht="15">
      <c r="A762" s="111" t="s">
        <v>455</v>
      </c>
      <c r="B762" s="270">
        <v>112</v>
      </c>
      <c r="C762" s="100" t="s">
        <v>68</v>
      </c>
      <c r="D762" s="100" t="s">
        <v>425</v>
      </c>
      <c r="E762" s="100" t="s">
        <v>329</v>
      </c>
      <c r="F762" s="100" t="s">
        <v>147</v>
      </c>
      <c r="G762" s="100" t="s">
        <v>456</v>
      </c>
      <c r="H762" s="117"/>
      <c r="I762" s="74">
        <f t="shared" si="132"/>
        <v>50</v>
      </c>
      <c r="J762" s="74">
        <f t="shared" si="132"/>
        <v>50</v>
      </c>
      <c r="K762" s="271">
        <f t="shared" si="129"/>
        <v>0</v>
      </c>
      <c r="L762" s="74">
        <f t="shared" si="132"/>
        <v>0</v>
      </c>
      <c r="M762" s="74">
        <f t="shared" si="132"/>
        <v>400</v>
      </c>
    </row>
    <row r="763" spans="1:13" ht="30">
      <c r="A763" s="111" t="s">
        <v>683</v>
      </c>
      <c r="B763" s="270">
        <v>112</v>
      </c>
      <c r="C763" s="100" t="s">
        <v>68</v>
      </c>
      <c r="D763" s="100" t="s">
        <v>425</v>
      </c>
      <c r="E763" s="100" t="s">
        <v>329</v>
      </c>
      <c r="F763" s="100" t="s">
        <v>147</v>
      </c>
      <c r="G763" s="100" t="s">
        <v>456</v>
      </c>
      <c r="H763" s="117">
        <v>200</v>
      </c>
      <c r="I763" s="74">
        <f>400-350</f>
        <v>50</v>
      </c>
      <c r="J763" s="74">
        <f>400-350</f>
        <v>50</v>
      </c>
      <c r="K763" s="271">
        <f t="shared" si="129"/>
        <v>0</v>
      </c>
      <c r="L763" s="74"/>
      <c r="M763" s="74">
        <v>400</v>
      </c>
    </row>
    <row r="764" spans="1:13" ht="28.5">
      <c r="A764" s="127" t="s">
        <v>984</v>
      </c>
      <c r="B764" s="266" t="s">
        <v>29</v>
      </c>
      <c r="C764" s="95"/>
      <c r="D764" s="67"/>
      <c r="E764" s="67"/>
      <c r="F764" s="67"/>
      <c r="G764" s="67"/>
      <c r="H764" s="67"/>
      <c r="I764" s="36">
        <f>I765</f>
        <v>13667.600000000002</v>
      </c>
      <c r="J764" s="36">
        <f>J765</f>
        <v>13667.600000000002</v>
      </c>
      <c r="K764" s="267">
        <f aca="true" t="shared" si="133" ref="K764:K770">J764-I764</f>
        <v>0</v>
      </c>
      <c r="L764" s="36">
        <f>L765</f>
        <v>15588.7</v>
      </c>
      <c r="M764" s="36">
        <f>M765</f>
        <v>16193.800000000001</v>
      </c>
    </row>
    <row r="765" spans="1:13" ht="15">
      <c r="A765" s="127" t="s">
        <v>37</v>
      </c>
      <c r="B765" s="266" t="s">
        <v>29</v>
      </c>
      <c r="C765" s="95" t="s">
        <v>38</v>
      </c>
      <c r="D765" s="67"/>
      <c r="E765" s="67"/>
      <c r="F765" s="67"/>
      <c r="G765" s="67"/>
      <c r="H765" s="67"/>
      <c r="I765" s="36">
        <f>I766+I771+I786</f>
        <v>13667.600000000002</v>
      </c>
      <c r="J765" s="36">
        <f>J766+J771+J786</f>
        <v>13667.600000000002</v>
      </c>
      <c r="K765" s="267">
        <f t="shared" si="133"/>
        <v>0</v>
      </c>
      <c r="L765" s="36">
        <f>L766+L771+L786</f>
        <v>15588.7</v>
      </c>
      <c r="M765" s="36">
        <f>M766+M771+M786</f>
        <v>16193.800000000001</v>
      </c>
    </row>
    <row r="766" spans="1:13" ht="28.5">
      <c r="A766" s="127" t="s">
        <v>39</v>
      </c>
      <c r="B766" s="266" t="s">
        <v>29</v>
      </c>
      <c r="C766" s="95" t="s">
        <v>40</v>
      </c>
      <c r="D766" s="95">
        <v>67</v>
      </c>
      <c r="E766" s="95">
        <v>0</v>
      </c>
      <c r="F766" s="95" t="s">
        <v>149</v>
      </c>
      <c r="G766" s="95" t="s">
        <v>150</v>
      </c>
      <c r="H766" s="94"/>
      <c r="I766" s="36">
        <f aca="true" t="shared" si="134" ref="I766:M769">I767</f>
        <v>1339.3999999999999</v>
      </c>
      <c r="J766" s="36">
        <f t="shared" si="134"/>
        <v>1339.3999999999999</v>
      </c>
      <c r="K766" s="267">
        <f t="shared" si="133"/>
        <v>0</v>
      </c>
      <c r="L766" s="36">
        <f t="shared" si="134"/>
        <v>2785.8</v>
      </c>
      <c r="M766" s="36">
        <f t="shared" si="134"/>
        <v>2897.3</v>
      </c>
    </row>
    <row r="767" spans="1:13" ht="28.5">
      <c r="A767" s="124" t="s">
        <v>398</v>
      </c>
      <c r="B767" s="266" t="s">
        <v>29</v>
      </c>
      <c r="C767" s="95" t="s">
        <v>40</v>
      </c>
      <c r="D767" s="67" t="s">
        <v>397</v>
      </c>
      <c r="E767" s="67" t="s">
        <v>131</v>
      </c>
      <c r="F767" s="67" t="s">
        <v>149</v>
      </c>
      <c r="G767" s="67" t="s">
        <v>150</v>
      </c>
      <c r="H767" s="67"/>
      <c r="I767" s="36">
        <f t="shared" si="134"/>
        <v>1339.3999999999999</v>
      </c>
      <c r="J767" s="36">
        <f t="shared" si="134"/>
        <v>1339.3999999999999</v>
      </c>
      <c r="K767" s="267">
        <f t="shared" si="133"/>
        <v>0</v>
      </c>
      <c r="L767" s="36">
        <f t="shared" si="134"/>
        <v>2785.8</v>
      </c>
      <c r="M767" s="36">
        <f t="shared" si="134"/>
        <v>2897.3</v>
      </c>
    </row>
    <row r="768" spans="1:13" s="276" customFormat="1" ht="14.25">
      <c r="A768" s="125" t="s">
        <v>399</v>
      </c>
      <c r="B768" s="266" t="s">
        <v>29</v>
      </c>
      <c r="C768" s="95" t="s">
        <v>40</v>
      </c>
      <c r="D768" s="95" t="s">
        <v>397</v>
      </c>
      <c r="E768" s="95" t="s">
        <v>131</v>
      </c>
      <c r="F768" s="95" t="s">
        <v>147</v>
      </c>
      <c r="G768" s="95" t="s">
        <v>150</v>
      </c>
      <c r="H768" s="94"/>
      <c r="I768" s="36">
        <f t="shared" si="134"/>
        <v>1339.3999999999999</v>
      </c>
      <c r="J768" s="36">
        <f t="shared" si="134"/>
        <v>1339.3999999999999</v>
      </c>
      <c r="K768" s="267">
        <f t="shared" si="133"/>
        <v>0</v>
      </c>
      <c r="L768" s="36">
        <f t="shared" si="134"/>
        <v>2785.8</v>
      </c>
      <c r="M768" s="36">
        <f t="shared" si="134"/>
        <v>2897.3</v>
      </c>
    </row>
    <row r="769" spans="1:13" ht="15">
      <c r="A769" s="111" t="s">
        <v>400</v>
      </c>
      <c r="B769" s="270" t="s">
        <v>29</v>
      </c>
      <c r="C769" s="100" t="s">
        <v>40</v>
      </c>
      <c r="D769" s="100" t="s">
        <v>397</v>
      </c>
      <c r="E769" s="100" t="s">
        <v>131</v>
      </c>
      <c r="F769" s="100" t="s">
        <v>147</v>
      </c>
      <c r="G769" s="100" t="s">
        <v>401</v>
      </c>
      <c r="H769" s="117"/>
      <c r="I769" s="74">
        <f>I770</f>
        <v>1339.3999999999999</v>
      </c>
      <c r="J769" s="74">
        <f t="shared" si="134"/>
        <v>1339.3999999999999</v>
      </c>
      <c r="K769" s="271">
        <f t="shared" si="133"/>
        <v>0</v>
      </c>
      <c r="L769" s="74">
        <f t="shared" si="134"/>
        <v>2785.8</v>
      </c>
      <c r="M769" s="74">
        <f t="shared" si="134"/>
        <v>2897.3</v>
      </c>
    </row>
    <row r="770" spans="1:13" ht="60">
      <c r="A770" s="111" t="s">
        <v>680</v>
      </c>
      <c r="B770" s="270" t="s">
        <v>29</v>
      </c>
      <c r="C770" s="100" t="s">
        <v>40</v>
      </c>
      <c r="D770" s="100" t="s">
        <v>397</v>
      </c>
      <c r="E770" s="100" t="s">
        <v>131</v>
      </c>
      <c r="F770" s="100" t="s">
        <v>147</v>
      </c>
      <c r="G770" s="100" t="s">
        <v>401</v>
      </c>
      <c r="H770" s="117">
        <v>100</v>
      </c>
      <c r="I770" s="74">
        <f>2678.7-1339.3</f>
        <v>1339.3999999999999</v>
      </c>
      <c r="J770" s="74">
        <f>2678.7-1339.3</f>
        <v>1339.3999999999999</v>
      </c>
      <c r="K770" s="271">
        <f t="shared" si="133"/>
        <v>0</v>
      </c>
      <c r="L770" s="74">
        <v>2785.8</v>
      </c>
      <c r="M770" s="74">
        <v>2897.3</v>
      </c>
    </row>
    <row r="771" spans="1:13" ht="42.75">
      <c r="A771" s="125" t="s">
        <v>41</v>
      </c>
      <c r="B771" s="266" t="s">
        <v>29</v>
      </c>
      <c r="C771" s="95" t="s">
        <v>42</v>
      </c>
      <c r="D771" s="95"/>
      <c r="E771" s="95"/>
      <c r="F771" s="95"/>
      <c r="G771" s="95"/>
      <c r="H771" s="94"/>
      <c r="I771" s="36">
        <f>I772+I777</f>
        <v>9279.400000000001</v>
      </c>
      <c r="J771" s="36">
        <f>J772+J777</f>
        <v>9279.400000000001</v>
      </c>
      <c r="K771" s="267">
        <f aca="true" t="shared" si="135" ref="K771:K784">J771-I771</f>
        <v>0</v>
      </c>
      <c r="L771" s="36">
        <f>L772+L777</f>
        <v>9530.199999999999</v>
      </c>
      <c r="M771" s="36">
        <f>M772+M777</f>
        <v>9902.9</v>
      </c>
    </row>
    <row r="772" spans="1:13" ht="42.75">
      <c r="A772" s="110" t="s">
        <v>331</v>
      </c>
      <c r="B772" s="266" t="s">
        <v>29</v>
      </c>
      <c r="C772" s="95" t="s">
        <v>42</v>
      </c>
      <c r="D772" s="67" t="s">
        <v>300</v>
      </c>
      <c r="E772" s="67" t="s">
        <v>148</v>
      </c>
      <c r="F772" s="67" t="s">
        <v>149</v>
      </c>
      <c r="G772" s="67" t="s">
        <v>150</v>
      </c>
      <c r="H772" s="67"/>
      <c r="I772" s="36">
        <f aca="true" t="shared" si="136" ref="I772:M775">I773</f>
        <v>19.7</v>
      </c>
      <c r="J772" s="36">
        <f t="shared" si="136"/>
        <v>19.7</v>
      </c>
      <c r="K772" s="267">
        <f t="shared" si="135"/>
        <v>0</v>
      </c>
      <c r="L772" s="36">
        <f t="shared" si="136"/>
        <v>20.4</v>
      </c>
      <c r="M772" s="36">
        <f t="shared" si="136"/>
        <v>21.2</v>
      </c>
    </row>
    <row r="773" spans="1:13" ht="42.75">
      <c r="A773" s="97" t="s">
        <v>777</v>
      </c>
      <c r="B773" s="266" t="s">
        <v>29</v>
      </c>
      <c r="C773" s="95" t="s">
        <v>42</v>
      </c>
      <c r="D773" s="67" t="s">
        <v>300</v>
      </c>
      <c r="E773" s="67" t="s">
        <v>134</v>
      </c>
      <c r="F773" s="67" t="s">
        <v>149</v>
      </c>
      <c r="G773" s="67" t="s">
        <v>150</v>
      </c>
      <c r="H773" s="67"/>
      <c r="I773" s="36">
        <f t="shared" si="136"/>
        <v>19.7</v>
      </c>
      <c r="J773" s="36">
        <f t="shared" si="136"/>
        <v>19.7</v>
      </c>
      <c r="K773" s="267">
        <f t="shared" si="135"/>
        <v>0</v>
      </c>
      <c r="L773" s="36">
        <f t="shared" si="136"/>
        <v>20.4</v>
      </c>
      <c r="M773" s="36">
        <f t="shared" si="136"/>
        <v>21.2</v>
      </c>
    </row>
    <row r="774" spans="1:13" s="276" customFormat="1" ht="28.5">
      <c r="A774" s="97" t="s">
        <v>778</v>
      </c>
      <c r="B774" s="266" t="s">
        <v>29</v>
      </c>
      <c r="C774" s="95" t="s">
        <v>42</v>
      </c>
      <c r="D774" s="67" t="s">
        <v>300</v>
      </c>
      <c r="E774" s="67" t="s">
        <v>134</v>
      </c>
      <c r="F774" s="67" t="s">
        <v>147</v>
      </c>
      <c r="G774" s="67" t="s">
        <v>150</v>
      </c>
      <c r="H774" s="67"/>
      <c r="I774" s="36">
        <f t="shared" si="136"/>
        <v>19.7</v>
      </c>
      <c r="J774" s="36">
        <f t="shared" si="136"/>
        <v>19.7</v>
      </c>
      <c r="K774" s="267">
        <f t="shared" si="135"/>
        <v>0</v>
      </c>
      <c r="L774" s="36">
        <f t="shared" si="136"/>
        <v>20.4</v>
      </c>
      <c r="M774" s="36">
        <f t="shared" si="136"/>
        <v>21.2</v>
      </c>
    </row>
    <row r="775" spans="1:13" ht="30">
      <c r="A775" s="115" t="s">
        <v>343</v>
      </c>
      <c r="B775" s="270" t="s">
        <v>29</v>
      </c>
      <c r="C775" s="100" t="s">
        <v>42</v>
      </c>
      <c r="D775" s="99" t="s">
        <v>300</v>
      </c>
      <c r="E775" s="99" t="s">
        <v>134</v>
      </c>
      <c r="F775" s="99" t="s">
        <v>147</v>
      </c>
      <c r="G775" s="99" t="s">
        <v>344</v>
      </c>
      <c r="H775" s="99"/>
      <c r="I775" s="74">
        <f t="shared" si="136"/>
        <v>19.7</v>
      </c>
      <c r="J775" s="74">
        <f t="shared" si="136"/>
        <v>19.7</v>
      </c>
      <c r="K775" s="271">
        <f t="shared" si="135"/>
        <v>0</v>
      </c>
      <c r="L775" s="74">
        <f t="shared" si="136"/>
        <v>20.4</v>
      </c>
      <c r="M775" s="74">
        <f t="shared" si="136"/>
        <v>21.2</v>
      </c>
    </row>
    <row r="776" spans="1:13" ht="30">
      <c r="A776" s="111" t="s">
        <v>683</v>
      </c>
      <c r="B776" s="270" t="s">
        <v>29</v>
      </c>
      <c r="C776" s="100" t="s">
        <v>42</v>
      </c>
      <c r="D776" s="99" t="s">
        <v>300</v>
      </c>
      <c r="E776" s="99" t="s">
        <v>134</v>
      </c>
      <c r="F776" s="99" t="s">
        <v>147</v>
      </c>
      <c r="G776" s="99" t="s">
        <v>344</v>
      </c>
      <c r="H776" s="99" t="s">
        <v>682</v>
      </c>
      <c r="I776" s="74">
        <v>19.7</v>
      </c>
      <c r="J776" s="74">
        <v>19.7</v>
      </c>
      <c r="K776" s="271">
        <f t="shared" si="135"/>
        <v>0</v>
      </c>
      <c r="L776" s="74">
        <v>20.4</v>
      </c>
      <c r="M776" s="74">
        <v>21.2</v>
      </c>
    </row>
    <row r="777" spans="1:13" ht="28.5">
      <c r="A777" s="127" t="s">
        <v>396</v>
      </c>
      <c r="B777" s="266" t="s">
        <v>29</v>
      </c>
      <c r="C777" s="95" t="s">
        <v>42</v>
      </c>
      <c r="D777" s="67" t="s">
        <v>397</v>
      </c>
      <c r="E777" s="67" t="s">
        <v>148</v>
      </c>
      <c r="F777" s="67" t="s">
        <v>149</v>
      </c>
      <c r="G777" s="67" t="s">
        <v>150</v>
      </c>
      <c r="H777" s="94"/>
      <c r="I777" s="36">
        <f aca="true" t="shared" si="137" ref="I777:M778">I778</f>
        <v>9259.7</v>
      </c>
      <c r="J777" s="36">
        <f t="shared" si="137"/>
        <v>9259.7</v>
      </c>
      <c r="K777" s="267">
        <f t="shared" si="135"/>
        <v>0</v>
      </c>
      <c r="L777" s="36">
        <f t="shared" si="137"/>
        <v>9509.8</v>
      </c>
      <c r="M777" s="36">
        <f t="shared" si="137"/>
        <v>9881.699999999999</v>
      </c>
    </row>
    <row r="778" spans="1:13" ht="28.5">
      <c r="A778" s="124" t="s">
        <v>483</v>
      </c>
      <c r="B778" s="266" t="s">
        <v>29</v>
      </c>
      <c r="C778" s="95" t="s">
        <v>42</v>
      </c>
      <c r="D778" s="67" t="s">
        <v>397</v>
      </c>
      <c r="E778" s="67" t="s">
        <v>134</v>
      </c>
      <c r="F778" s="67" t="s">
        <v>149</v>
      </c>
      <c r="G778" s="67" t="s">
        <v>150</v>
      </c>
      <c r="H778" s="67"/>
      <c r="I778" s="36">
        <f t="shared" si="137"/>
        <v>9259.7</v>
      </c>
      <c r="J778" s="36">
        <f t="shared" si="137"/>
        <v>9259.7</v>
      </c>
      <c r="K778" s="267">
        <f t="shared" si="135"/>
        <v>0</v>
      </c>
      <c r="L778" s="36">
        <f t="shared" si="137"/>
        <v>9509.8</v>
      </c>
      <c r="M778" s="36">
        <f t="shared" si="137"/>
        <v>9881.699999999999</v>
      </c>
    </row>
    <row r="779" spans="1:13" s="276" customFormat="1" ht="14.25">
      <c r="A779" s="125" t="s">
        <v>399</v>
      </c>
      <c r="B779" s="266" t="s">
        <v>29</v>
      </c>
      <c r="C779" s="95" t="s">
        <v>42</v>
      </c>
      <c r="D779" s="95" t="s">
        <v>397</v>
      </c>
      <c r="E779" s="95" t="s">
        <v>134</v>
      </c>
      <c r="F779" s="95" t="s">
        <v>147</v>
      </c>
      <c r="G779" s="95" t="s">
        <v>150</v>
      </c>
      <c r="H779" s="137"/>
      <c r="I779" s="84">
        <f>I780+I784</f>
        <v>9259.7</v>
      </c>
      <c r="J779" s="84">
        <f>J780+J784</f>
        <v>9259.7</v>
      </c>
      <c r="K779" s="267">
        <f t="shared" si="135"/>
        <v>0</v>
      </c>
      <c r="L779" s="84">
        <f>L780+L784</f>
        <v>9509.8</v>
      </c>
      <c r="M779" s="84">
        <f>M780+M784</f>
        <v>9881.699999999999</v>
      </c>
    </row>
    <row r="780" spans="1:13" ht="15">
      <c r="A780" s="111" t="s">
        <v>400</v>
      </c>
      <c r="B780" s="270" t="s">
        <v>29</v>
      </c>
      <c r="C780" s="100" t="s">
        <v>42</v>
      </c>
      <c r="D780" s="100" t="s">
        <v>397</v>
      </c>
      <c r="E780" s="100" t="s">
        <v>134</v>
      </c>
      <c r="F780" s="100" t="s">
        <v>147</v>
      </c>
      <c r="G780" s="100" t="s">
        <v>401</v>
      </c>
      <c r="H780" s="117"/>
      <c r="I780" s="74">
        <f>I781+I782+I783</f>
        <v>9259.7</v>
      </c>
      <c r="J780" s="74">
        <f>J781+J782+J783</f>
        <v>9259.7</v>
      </c>
      <c r="K780" s="271">
        <f t="shared" si="135"/>
        <v>0</v>
      </c>
      <c r="L780" s="74">
        <f>L781+L782+L783</f>
        <v>9509.8</v>
      </c>
      <c r="M780" s="74">
        <f>M781+M782+M783</f>
        <v>9881.699999999999</v>
      </c>
    </row>
    <row r="781" spans="1:13" ht="60">
      <c r="A781" s="111" t="s">
        <v>680</v>
      </c>
      <c r="B781" s="270" t="s">
        <v>29</v>
      </c>
      <c r="C781" s="100" t="s">
        <v>42</v>
      </c>
      <c r="D781" s="100" t="s">
        <v>397</v>
      </c>
      <c r="E781" s="100" t="s">
        <v>134</v>
      </c>
      <c r="F781" s="100" t="s">
        <v>147</v>
      </c>
      <c r="G781" s="100" t="s">
        <v>401</v>
      </c>
      <c r="H781" s="117">
        <v>100</v>
      </c>
      <c r="I781" s="74">
        <v>7541</v>
      </c>
      <c r="J781" s="74">
        <v>7541</v>
      </c>
      <c r="K781" s="271">
        <f t="shared" si="135"/>
        <v>0</v>
      </c>
      <c r="L781" s="74">
        <v>7842.8</v>
      </c>
      <c r="M781" s="74">
        <v>8156.4</v>
      </c>
    </row>
    <row r="782" spans="1:13" ht="30">
      <c r="A782" s="111" t="s">
        <v>683</v>
      </c>
      <c r="B782" s="270" t="s">
        <v>29</v>
      </c>
      <c r="C782" s="100" t="s">
        <v>42</v>
      </c>
      <c r="D782" s="100" t="s">
        <v>397</v>
      </c>
      <c r="E782" s="100" t="s">
        <v>134</v>
      </c>
      <c r="F782" s="100" t="s">
        <v>147</v>
      </c>
      <c r="G782" s="100" t="s">
        <v>401</v>
      </c>
      <c r="H782" s="117">
        <v>200</v>
      </c>
      <c r="I782" s="74">
        <f>1607.7+116-5.5</f>
        <v>1718.2</v>
      </c>
      <c r="J782" s="74">
        <f>1607.7+116-5.5</f>
        <v>1718.2</v>
      </c>
      <c r="K782" s="271">
        <f t="shared" si="135"/>
        <v>0</v>
      </c>
      <c r="L782" s="74">
        <v>1664</v>
      </c>
      <c r="M782" s="74">
        <v>1722.3</v>
      </c>
    </row>
    <row r="783" spans="1:13" ht="15">
      <c r="A783" s="111" t="s">
        <v>684</v>
      </c>
      <c r="B783" s="270">
        <v>114</v>
      </c>
      <c r="C783" s="100" t="s">
        <v>42</v>
      </c>
      <c r="D783" s="100" t="s">
        <v>397</v>
      </c>
      <c r="E783" s="100" t="s">
        <v>134</v>
      </c>
      <c r="F783" s="100" t="s">
        <v>147</v>
      </c>
      <c r="G783" s="100" t="s">
        <v>401</v>
      </c>
      <c r="H783" s="117">
        <v>800</v>
      </c>
      <c r="I783" s="74">
        <f>3-2.5</f>
        <v>0.5</v>
      </c>
      <c r="J783" s="74">
        <f>3-2.5</f>
        <v>0.5</v>
      </c>
      <c r="K783" s="271">
        <f t="shared" si="135"/>
        <v>0</v>
      </c>
      <c r="L783" s="74">
        <v>3</v>
      </c>
      <c r="M783" s="74">
        <v>3</v>
      </c>
    </row>
    <row r="784" spans="1:13" s="276" customFormat="1" ht="30" hidden="1">
      <c r="A784" s="111" t="s">
        <v>492</v>
      </c>
      <c r="B784" s="270" t="s">
        <v>29</v>
      </c>
      <c r="C784" s="100" t="s">
        <v>42</v>
      </c>
      <c r="D784" s="100" t="s">
        <v>397</v>
      </c>
      <c r="E784" s="100" t="s">
        <v>134</v>
      </c>
      <c r="F784" s="100" t="s">
        <v>147</v>
      </c>
      <c r="G784" s="100" t="s">
        <v>420</v>
      </c>
      <c r="H784" s="117"/>
      <c r="I784" s="74"/>
      <c r="J784" s="74">
        <f>J785</f>
        <v>0</v>
      </c>
      <c r="K784" s="271">
        <f t="shared" si="135"/>
        <v>0</v>
      </c>
      <c r="L784" s="74">
        <f>L785</f>
        <v>0</v>
      </c>
      <c r="M784" s="74">
        <f>M785</f>
        <v>0</v>
      </c>
    </row>
    <row r="785" spans="1:13" ht="60" hidden="1">
      <c r="A785" s="111" t="s">
        <v>680</v>
      </c>
      <c r="B785" s="270" t="s">
        <v>29</v>
      </c>
      <c r="C785" s="100" t="s">
        <v>42</v>
      </c>
      <c r="D785" s="100" t="s">
        <v>397</v>
      </c>
      <c r="E785" s="100" t="s">
        <v>134</v>
      </c>
      <c r="F785" s="100" t="s">
        <v>147</v>
      </c>
      <c r="G785" s="100" t="s">
        <v>420</v>
      </c>
      <c r="H785" s="117">
        <v>100</v>
      </c>
      <c r="I785" s="74"/>
      <c r="J785" s="74"/>
      <c r="K785" s="271"/>
      <c r="L785" s="74"/>
      <c r="M785" s="74"/>
    </row>
    <row r="786" spans="1:13" ht="15">
      <c r="A786" s="127" t="s">
        <v>51</v>
      </c>
      <c r="B786" s="266" t="s">
        <v>29</v>
      </c>
      <c r="C786" s="95" t="s">
        <v>52</v>
      </c>
      <c r="D786" s="67"/>
      <c r="E786" s="67"/>
      <c r="F786" s="67"/>
      <c r="G786" s="67"/>
      <c r="H786" s="67"/>
      <c r="I786" s="36">
        <f>I792+I797+I787</f>
        <v>3048.8</v>
      </c>
      <c r="J786" s="36">
        <f>J792+J797+J787</f>
        <v>3048.8</v>
      </c>
      <c r="K786" s="267">
        <f aca="true" t="shared" si="138" ref="K786:K803">J786-I786</f>
        <v>0</v>
      </c>
      <c r="L786" s="36">
        <f>L792+L797+L787</f>
        <v>3272.7</v>
      </c>
      <c r="M786" s="36">
        <f>M792+M797+M787</f>
        <v>3393.6</v>
      </c>
    </row>
    <row r="787" spans="1:13" ht="42.75">
      <c r="A787" s="110" t="s">
        <v>331</v>
      </c>
      <c r="B787" s="266" t="s">
        <v>29</v>
      </c>
      <c r="C787" s="95" t="s">
        <v>52</v>
      </c>
      <c r="D787" s="67" t="s">
        <v>300</v>
      </c>
      <c r="E787" s="67" t="s">
        <v>148</v>
      </c>
      <c r="F787" s="67" t="s">
        <v>149</v>
      </c>
      <c r="G787" s="67" t="s">
        <v>150</v>
      </c>
      <c r="H787" s="67"/>
      <c r="I787" s="36">
        <f aca="true" t="shared" si="139" ref="I787:J790">I788</f>
        <v>22.8</v>
      </c>
      <c r="J787" s="36">
        <f t="shared" si="139"/>
        <v>22.8</v>
      </c>
      <c r="K787" s="267">
        <f t="shared" si="138"/>
        <v>0</v>
      </c>
      <c r="L787" s="36">
        <f aca="true" t="shared" si="140" ref="L787:M790">L788</f>
        <v>23.7</v>
      </c>
      <c r="M787" s="36">
        <f t="shared" si="140"/>
        <v>24.6</v>
      </c>
    </row>
    <row r="788" spans="1:13" ht="42.75">
      <c r="A788" s="97" t="s">
        <v>777</v>
      </c>
      <c r="B788" s="266" t="s">
        <v>29</v>
      </c>
      <c r="C788" s="95" t="s">
        <v>52</v>
      </c>
      <c r="D788" s="67" t="s">
        <v>300</v>
      </c>
      <c r="E788" s="67" t="s">
        <v>134</v>
      </c>
      <c r="F788" s="67" t="s">
        <v>149</v>
      </c>
      <c r="G788" s="67" t="s">
        <v>150</v>
      </c>
      <c r="H788" s="67"/>
      <c r="I788" s="36">
        <f t="shared" si="139"/>
        <v>22.8</v>
      </c>
      <c r="J788" s="36">
        <f t="shared" si="139"/>
        <v>22.8</v>
      </c>
      <c r="K788" s="267">
        <f t="shared" si="138"/>
        <v>0</v>
      </c>
      <c r="L788" s="36">
        <f t="shared" si="140"/>
        <v>23.7</v>
      </c>
      <c r="M788" s="36">
        <f t="shared" si="140"/>
        <v>24.6</v>
      </c>
    </row>
    <row r="789" spans="1:13" ht="28.5">
      <c r="A789" s="97" t="s">
        <v>778</v>
      </c>
      <c r="B789" s="266" t="s">
        <v>29</v>
      </c>
      <c r="C789" s="95" t="s">
        <v>52</v>
      </c>
      <c r="D789" s="67" t="s">
        <v>300</v>
      </c>
      <c r="E789" s="67" t="s">
        <v>134</v>
      </c>
      <c r="F789" s="67" t="s">
        <v>147</v>
      </c>
      <c r="G789" s="67" t="s">
        <v>150</v>
      </c>
      <c r="H789" s="67"/>
      <c r="I789" s="36">
        <f t="shared" si="139"/>
        <v>22.8</v>
      </c>
      <c r="J789" s="36">
        <f t="shared" si="139"/>
        <v>22.8</v>
      </c>
      <c r="K789" s="267">
        <f t="shared" si="138"/>
        <v>0</v>
      </c>
      <c r="L789" s="36">
        <f t="shared" si="140"/>
        <v>23.7</v>
      </c>
      <c r="M789" s="36">
        <f t="shared" si="140"/>
        <v>24.6</v>
      </c>
    </row>
    <row r="790" spans="1:13" ht="30">
      <c r="A790" s="102" t="s">
        <v>779</v>
      </c>
      <c r="B790" s="270" t="s">
        <v>29</v>
      </c>
      <c r="C790" s="100" t="s">
        <v>52</v>
      </c>
      <c r="D790" s="99" t="s">
        <v>300</v>
      </c>
      <c r="E790" s="99" t="s">
        <v>134</v>
      </c>
      <c r="F790" s="99" t="s">
        <v>147</v>
      </c>
      <c r="G790" s="100" t="s">
        <v>342</v>
      </c>
      <c r="H790" s="99"/>
      <c r="I790" s="74">
        <f t="shared" si="139"/>
        <v>22.8</v>
      </c>
      <c r="J790" s="74">
        <f t="shared" si="139"/>
        <v>22.8</v>
      </c>
      <c r="K790" s="271">
        <f t="shared" si="138"/>
        <v>0</v>
      </c>
      <c r="L790" s="74">
        <f t="shared" si="140"/>
        <v>23.7</v>
      </c>
      <c r="M790" s="74">
        <f t="shared" si="140"/>
        <v>24.6</v>
      </c>
    </row>
    <row r="791" spans="1:13" ht="30">
      <c r="A791" s="102" t="s">
        <v>683</v>
      </c>
      <c r="B791" s="270" t="s">
        <v>29</v>
      </c>
      <c r="C791" s="100" t="s">
        <v>52</v>
      </c>
      <c r="D791" s="99" t="s">
        <v>300</v>
      </c>
      <c r="E791" s="99" t="s">
        <v>134</v>
      </c>
      <c r="F791" s="99" t="s">
        <v>147</v>
      </c>
      <c r="G791" s="100" t="s">
        <v>342</v>
      </c>
      <c r="H791" s="99" t="s">
        <v>682</v>
      </c>
      <c r="I791" s="74">
        <v>22.8</v>
      </c>
      <c r="J791" s="74">
        <f>22.8-5.5+5.5</f>
        <v>22.8</v>
      </c>
      <c r="K791" s="271">
        <f t="shared" si="138"/>
        <v>0</v>
      </c>
      <c r="L791" s="74">
        <v>23.7</v>
      </c>
      <c r="M791" s="74">
        <v>24.6</v>
      </c>
    </row>
    <row r="792" spans="1:13" ht="42.75">
      <c r="A792" s="127" t="s">
        <v>376</v>
      </c>
      <c r="B792" s="266" t="s">
        <v>29</v>
      </c>
      <c r="C792" s="95" t="s">
        <v>52</v>
      </c>
      <c r="D792" s="67" t="s">
        <v>345</v>
      </c>
      <c r="E792" s="67" t="s">
        <v>148</v>
      </c>
      <c r="F792" s="67" t="s">
        <v>149</v>
      </c>
      <c r="G792" s="67" t="s">
        <v>150</v>
      </c>
      <c r="H792" s="67"/>
      <c r="I792" s="36">
        <f aca="true" t="shared" si="141" ref="I792:M795">I793</f>
        <v>2796</v>
      </c>
      <c r="J792" s="36">
        <f t="shared" si="141"/>
        <v>2796</v>
      </c>
      <c r="K792" s="267">
        <f t="shared" si="138"/>
        <v>0</v>
      </c>
      <c r="L792" s="36">
        <f t="shared" si="141"/>
        <v>2907</v>
      </c>
      <c r="M792" s="36">
        <f t="shared" si="141"/>
        <v>3023</v>
      </c>
    </row>
    <row r="793" spans="1:13" ht="15">
      <c r="A793" s="124" t="s">
        <v>493</v>
      </c>
      <c r="B793" s="266" t="s">
        <v>29</v>
      </c>
      <c r="C793" s="95" t="s">
        <v>52</v>
      </c>
      <c r="D793" s="67" t="s">
        <v>345</v>
      </c>
      <c r="E793" s="67" t="s">
        <v>131</v>
      </c>
      <c r="F793" s="67" t="s">
        <v>149</v>
      </c>
      <c r="G793" s="67" t="s">
        <v>150</v>
      </c>
      <c r="H793" s="67"/>
      <c r="I793" s="36">
        <f t="shared" si="141"/>
        <v>2796</v>
      </c>
      <c r="J793" s="36">
        <f t="shared" si="141"/>
        <v>2796</v>
      </c>
      <c r="K793" s="267">
        <f t="shared" si="138"/>
        <v>0</v>
      </c>
      <c r="L793" s="36">
        <f t="shared" si="141"/>
        <v>2907</v>
      </c>
      <c r="M793" s="36">
        <f t="shared" si="141"/>
        <v>3023</v>
      </c>
    </row>
    <row r="794" spans="1:13" s="276" customFormat="1" ht="42.75">
      <c r="A794" s="125" t="s">
        <v>379</v>
      </c>
      <c r="B794" s="266" t="s">
        <v>29</v>
      </c>
      <c r="C794" s="95" t="s">
        <v>52</v>
      </c>
      <c r="D794" s="67" t="s">
        <v>345</v>
      </c>
      <c r="E794" s="67" t="s">
        <v>131</v>
      </c>
      <c r="F794" s="67" t="s">
        <v>147</v>
      </c>
      <c r="G794" s="67" t="s">
        <v>150</v>
      </c>
      <c r="H794" s="67"/>
      <c r="I794" s="36">
        <f t="shared" si="141"/>
        <v>2796</v>
      </c>
      <c r="J794" s="36">
        <f t="shared" si="141"/>
        <v>2796</v>
      </c>
      <c r="K794" s="267">
        <f t="shared" si="138"/>
        <v>0</v>
      </c>
      <c r="L794" s="36">
        <f t="shared" si="141"/>
        <v>2907</v>
      </c>
      <c r="M794" s="36">
        <f t="shared" si="141"/>
        <v>3023</v>
      </c>
    </row>
    <row r="795" spans="1:13" ht="75">
      <c r="A795" s="115" t="s">
        <v>380</v>
      </c>
      <c r="B795" s="270" t="s">
        <v>29</v>
      </c>
      <c r="C795" s="100" t="s">
        <v>52</v>
      </c>
      <c r="D795" s="99" t="s">
        <v>345</v>
      </c>
      <c r="E795" s="99" t="s">
        <v>131</v>
      </c>
      <c r="F795" s="99" t="s">
        <v>147</v>
      </c>
      <c r="G795" s="99" t="s">
        <v>381</v>
      </c>
      <c r="H795" s="99"/>
      <c r="I795" s="74">
        <f t="shared" si="141"/>
        <v>2796</v>
      </c>
      <c r="J795" s="74">
        <f t="shared" si="141"/>
        <v>2796</v>
      </c>
      <c r="K795" s="271">
        <f t="shared" si="138"/>
        <v>0</v>
      </c>
      <c r="L795" s="74">
        <f t="shared" si="141"/>
        <v>2907</v>
      </c>
      <c r="M795" s="74">
        <f t="shared" si="141"/>
        <v>3023</v>
      </c>
    </row>
    <row r="796" spans="1:13" s="276" customFormat="1" ht="30">
      <c r="A796" s="111" t="s">
        <v>683</v>
      </c>
      <c r="B796" s="270" t="s">
        <v>29</v>
      </c>
      <c r="C796" s="100" t="s">
        <v>52</v>
      </c>
      <c r="D796" s="99" t="s">
        <v>345</v>
      </c>
      <c r="E796" s="99" t="s">
        <v>131</v>
      </c>
      <c r="F796" s="99" t="s">
        <v>147</v>
      </c>
      <c r="G796" s="99" t="s">
        <v>381</v>
      </c>
      <c r="H796" s="99" t="s">
        <v>682</v>
      </c>
      <c r="I796" s="74">
        <v>2796</v>
      </c>
      <c r="J796" s="74">
        <v>2796</v>
      </c>
      <c r="K796" s="271">
        <f t="shared" si="138"/>
        <v>0</v>
      </c>
      <c r="L796" s="74">
        <v>2907</v>
      </c>
      <c r="M796" s="74">
        <v>3023</v>
      </c>
    </row>
    <row r="797" spans="1:13" s="276" customFormat="1" ht="15">
      <c r="A797" s="127" t="s">
        <v>424</v>
      </c>
      <c r="B797" s="266" t="s">
        <v>29</v>
      </c>
      <c r="C797" s="95" t="s">
        <v>52</v>
      </c>
      <c r="D797" s="95" t="s">
        <v>425</v>
      </c>
      <c r="E797" s="95" t="s">
        <v>148</v>
      </c>
      <c r="F797" s="95" t="s">
        <v>149</v>
      </c>
      <c r="G797" s="95" t="s">
        <v>150</v>
      </c>
      <c r="H797" s="99"/>
      <c r="I797" s="36">
        <f aca="true" t="shared" si="142" ref="I797:M798">I798</f>
        <v>230</v>
      </c>
      <c r="J797" s="36">
        <f t="shared" si="142"/>
        <v>230</v>
      </c>
      <c r="K797" s="267">
        <f t="shared" si="138"/>
        <v>0</v>
      </c>
      <c r="L797" s="36">
        <f t="shared" si="142"/>
        <v>342</v>
      </c>
      <c r="M797" s="36">
        <f t="shared" si="142"/>
        <v>346</v>
      </c>
    </row>
    <row r="798" spans="1:13" s="276" customFormat="1" ht="15">
      <c r="A798" s="124" t="s">
        <v>399</v>
      </c>
      <c r="B798" s="266" t="s">
        <v>29</v>
      </c>
      <c r="C798" s="95" t="s">
        <v>52</v>
      </c>
      <c r="D798" s="67" t="s">
        <v>425</v>
      </c>
      <c r="E798" s="67" t="s">
        <v>329</v>
      </c>
      <c r="F798" s="67" t="s">
        <v>149</v>
      </c>
      <c r="G798" s="67" t="s">
        <v>150</v>
      </c>
      <c r="H798" s="99"/>
      <c r="I798" s="36">
        <f t="shared" si="142"/>
        <v>230</v>
      </c>
      <c r="J798" s="36">
        <f t="shared" si="142"/>
        <v>230</v>
      </c>
      <c r="K798" s="267">
        <f t="shared" si="138"/>
        <v>0</v>
      </c>
      <c r="L798" s="36">
        <f t="shared" si="142"/>
        <v>342</v>
      </c>
      <c r="M798" s="36">
        <f t="shared" si="142"/>
        <v>346</v>
      </c>
    </row>
    <row r="799" spans="1:13" s="276" customFormat="1" ht="14.25">
      <c r="A799" s="125" t="s">
        <v>399</v>
      </c>
      <c r="B799" s="266" t="s">
        <v>29</v>
      </c>
      <c r="C799" s="95" t="s">
        <v>52</v>
      </c>
      <c r="D799" s="95" t="s">
        <v>425</v>
      </c>
      <c r="E799" s="95" t="s">
        <v>329</v>
      </c>
      <c r="F799" s="95" t="s">
        <v>147</v>
      </c>
      <c r="G799" s="95" t="s">
        <v>150</v>
      </c>
      <c r="H799" s="94"/>
      <c r="I799" s="36">
        <f>I800+I802</f>
        <v>230</v>
      </c>
      <c r="J799" s="36">
        <f>J800+J802</f>
        <v>230</v>
      </c>
      <c r="K799" s="267">
        <f t="shared" si="138"/>
        <v>0</v>
      </c>
      <c r="L799" s="36">
        <f>L800+L802</f>
        <v>342</v>
      </c>
      <c r="M799" s="36">
        <f>M800+M802</f>
        <v>346</v>
      </c>
    </row>
    <row r="800" spans="1:13" s="276" customFormat="1" ht="15">
      <c r="A800" s="111" t="s">
        <v>436</v>
      </c>
      <c r="B800" s="270" t="s">
        <v>29</v>
      </c>
      <c r="C800" s="100" t="s">
        <v>52</v>
      </c>
      <c r="D800" s="100" t="s">
        <v>425</v>
      </c>
      <c r="E800" s="100" t="s">
        <v>329</v>
      </c>
      <c r="F800" s="100" t="s">
        <v>147</v>
      </c>
      <c r="G800" s="100" t="s">
        <v>437</v>
      </c>
      <c r="H800" s="117"/>
      <c r="I800" s="74">
        <f>I801</f>
        <v>230</v>
      </c>
      <c r="J800" s="74">
        <f>J801</f>
        <v>230</v>
      </c>
      <c r="K800" s="271">
        <f t="shared" si="138"/>
        <v>0</v>
      </c>
      <c r="L800" s="74">
        <f>L801</f>
        <v>230</v>
      </c>
      <c r="M800" s="74">
        <f>M801</f>
        <v>230</v>
      </c>
    </row>
    <row r="801" spans="1:13" ht="15">
      <c r="A801" s="111" t="s">
        <v>684</v>
      </c>
      <c r="B801" s="270" t="s">
        <v>29</v>
      </c>
      <c r="C801" s="100" t="s">
        <v>52</v>
      </c>
      <c r="D801" s="100" t="s">
        <v>425</v>
      </c>
      <c r="E801" s="100" t="s">
        <v>329</v>
      </c>
      <c r="F801" s="100" t="s">
        <v>147</v>
      </c>
      <c r="G801" s="100" t="s">
        <v>437</v>
      </c>
      <c r="H801" s="117">
        <v>800</v>
      </c>
      <c r="I801" s="74">
        <v>230</v>
      </c>
      <c r="J801" s="74">
        <v>230</v>
      </c>
      <c r="K801" s="271">
        <f t="shared" si="138"/>
        <v>0</v>
      </c>
      <c r="L801" s="74">
        <v>230</v>
      </c>
      <c r="M801" s="74">
        <v>230</v>
      </c>
    </row>
    <row r="802" spans="1:13" s="276" customFormat="1" ht="30">
      <c r="A802" s="111" t="s">
        <v>442</v>
      </c>
      <c r="B802" s="270">
        <v>114</v>
      </c>
      <c r="C802" s="100" t="s">
        <v>52</v>
      </c>
      <c r="D802" s="100" t="s">
        <v>425</v>
      </c>
      <c r="E802" s="100" t="s">
        <v>329</v>
      </c>
      <c r="F802" s="100" t="s">
        <v>147</v>
      </c>
      <c r="G802" s="100" t="s">
        <v>443</v>
      </c>
      <c r="H802" s="117"/>
      <c r="I802" s="74">
        <f>I803+I804</f>
        <v>0</v>
      </c>
      <c r="J802" s="74">
        <f>J803+J804</f>
        <v>0</v>
      </c>
      <c r="K802" s="271">
        <f t="shared" si="138"/>
        <v>0</v>
      </c>
      <c r="L802" s="74">
        <f>L803+L804</f>
        <v>112</v>
      </c>
      <c r="M802" s="74">
        <f>M803+M804</f>
        <v>116</v>
      </c>
    </row>
    <row r="803" spans="1:13" ht="30">
      <c r="A803" s="111" t="s">
        <v>683</v>
      </c>
      <c r="B803" s="270">
        <v>114</v>
      </c>
      <c r="C803" s="100" t="s">
        <v>52</v>
      </c>
      <c r="D803" s="100" t="s">
        <v>425</v>
      </c>
      <c r="E803" s="100" t="s">
        <v>329</v>
      </c>
      <c r="F803" s="100" t="s">
        <v>147</v>
      </c>
      <c r="G803" s="100" t="s">
        <v>443</v>
      </c>
      <c r="H803" s="117">
        <v>200</v>
      </c>
      <c r="I803" s="74">
        <f>108-108</f>
        <v>0</v>
      </c>
      <c r="J803" s="74">
        <f>108-108</f>
        <v>0</v>
      </c>
      <c r="K803" s="271">
        <f t="shared" si="138"/>
        <v>0</v>
      </c>
      <c r="L803" s="74">
        <v>112</v>
      </c>
      <c r="M803" s="74">
        <v>116</v>
      </c>
    </row>
    <row r="804" spans="1:13" ht="15" hidden="1">
      <c r="A804" s="111" t="s">
        <v>687</v>
      </c>
      <c r="B804" s="270">
        <v>114</v>
      </c>
      <c r="C804" s="100" t="s">
        <v>52</v>
      </c>
      <c r="D804" s="100" t="s">
        <v>425</v>
      </c>
      <c r="E804" s="100" t="s">
        <v>329</v>
      </c>
      <c r="F804" s="100" t="s">
        <v>147</v>
      </c>
      <c r="G804" s="100" t="s">
        <v>443</v>
      </c>
      <c r="H804" s="117">
        <v>300</v>
      </c>
      <c r="I804" s="74"/>
      <c r="J804" s="256"/>
      <c r="K804" s="271">
        <f aca="true" t="shared" si="143" ref="K804:K817">J804-I804</f>
        <v>0</v>
      </c>
      <c r="L804" s="74"/>
      <c r="M804" s="74"/>
    </row>
    <row r="805" spans="1:13" ht="28.5">
      <c r="A805" s="127" t="s">
        <v>985</v>
      </c>
      <c r="B805" s="266" t="s">
        <v>30</v>
      </c>
      <c r="C805" s="95"/>
      <c r="D805" s="67"/>
      <c r="E805" s="67"/>
      <c r="F805" s="67"/>
      <c r="G805" s="67"/>
      <c r="H805" s="67"/>
      <c r="I805" s="36">
        <f>I806+I818</f>
        <v>8885.8</v>
      </c>
      <c r="J805" s="36">
        <f>J806+J818</f>
        <v>8885.8</v>
      </c>
      <c r="K805" s="267">
        <f t="shared" si="143"/>
        <v>0</v>
      </c>
      <c r="L805" s="36">
        <f>L806+L818</f>
        <v>8818.8</v>
      </c>
      <c r="M805" s="36">
        <f>M806+M818</f>
        <v>9394.8</v>
      </c>
    </row>
    <row r="806" spans="1:13" ht="15">
      <c r="A806" s="127" t="s">
        <v>37</v>
      </c>
      <c r="B806" s="266" t="s">
        <v>30</v>
      </c>
      <c r="C806" s="95" t="s">
        <v>38</v>
      </c>
      <c r="D806" s="67"/>
      <c r="E806" s="67"/>
      <c r="F806" s="67"/>
      <c r="G806" s="67"/>
      <c r="H806" s="67"/>
      <c r="I806" s="36">
        <f>I807</f>
        <v>145</v>
      </c>
      <c r="J806" s="36">
        <f>J807</f>
        <v>145</v>
      </c>
      <c r="K806" s="267">
        <f t="shared" si="143"/>
        <v>0</v>
      </c>
      <c r="L806" s="36">
        <f>L807</f>
        <v>146</v>
      </c>
      <c r="M806" s="36">
        <f>M807</f>
        <v>143</v>
      </c>
    </row>
    <row r="807" spans="1:13" ht="15">
      <c r="A807" s="127" t="s">
        <v>51</v>
      </c>
      <c r="B807" s="266" t="s">
        <v>30</v>
      </c>
      <c r="C807" s="95" t="s">
        <v>52</v>
      </c>
      <c r="D807" s="67"/>
      <c r="E807" s="67"/>
      <c r="F807" s="67"/>
      <c r="G807" s="67"/>
      <c r="H807" s="67"/>
      <c r="I807" s="36">
        <f>I808+I813</f>
        <v>145</v>
      </c>
      <c r="J807" s="36">
        <f>J808+J813</f>
        <v>145</v>
      </c>
      <c r="K807" s="267">
        <f t="shared" si="143"/>
        <v>0</v>
      </c>
      <c r="L807" s="36">
        <f>L808+L813</f>
        <v>146</v>
      </c>
      <c r="M807" s="36">
        <f>M808+M813</f>
        <v>143</v>
      </c>
    </row>
    <row r="808" spans="1:13" ht="42.75">
      <c r="A808" s="110" t="s">
        <v>331</v>
      </c>
      <c r="B808" s="266" t="s">
        <v>30</v>
      </c>
      <c r="C808" s="95" t="s">
        <v>52</v>
      </c>
      <c r="D808" s="67" t="s">
        <v>300</v>
      </c>
      <c r="E808" s="67" t="s">
        <v>148</v>
      </c>
      <c r="F808" s="67" t="s">
        <v>149</v>
      </c>
      <c r="G808" s="67" t="s">
        <v>150</v>
      </c>
      <c r="H808" s="67"/>
      <c r="I808" s="36">
        <f aca="true" t="shared" si="144" ref="I808:M811">I809</f>
        <v>45</v>
      </c>
      <c r="J808" s="36">
        <f t="shared" si="144"/>
        <v>45</v>
      </c>
      <c r="K808" s="267">
        <f t="shared" si="143"/>
        <v>0</v>
      </c>
      <c r="L808" s="36">
        <f t="shared" si="144"/>
        <v>46</v>
      </c>
      <c r="M808" s="36">
        <f t="shared" si="144"/>
        <v>43</v>
      </c>
    </row>
    <row r="809" spans="1:13" ht="35.25" customHeight="1">
      <c r="A809" s="97" t="s">
        <v>777</v>
      </c>
      <c r="B809" s="266" t="s">
        <v>30</v>
      </c>
      <c r="C809" s="95" t="s">
        <v>52</v>
      </c>
      <c r="D809" s="67" t="s">
        <v>300</v>
      </c>
      <c r="E809" s="67" t="s">
        <v>134</v>
      </c>
      <c r="F809" s="67" t="s">
        <v>149</v>
      </c>
      <c r="G809" s="67" t="s">
        <v>150</v>
      </c>
      <c r="H809" s="67"/>
      <c r="I809" s="36">
        <f t="shared" si="144"/>
        <v>45</v>
      </c>
      <c r="J809" s="36">
        <f t="shared" si="144"/>
        <v>45</v>
      </c>
      <c r="K809" s="267">
        <f t="shared" si="143"/>
        <v>0</v>
      </c>
      <c r="L809" s="36">
        <f t="shared" si="144"/>
        <v>46</v>
      </c>
      <c r="M809" s="36">
        <f t="shared" si="144"/>
        <v>43</v>
      </c>
    </row>
    <row r="810" spans="1:13" s="276" customFormat="1" ht="28.5">
      <c r="A810" s="124" t="s">
        <v>778</v>
      </c>
      <c r="B810" s="266" t="s">
        <v>30</v>
      </c>
      <c r="C810" s="95" t="s">
        <v>52</v>
      </c>
      <c r="D810" s="67" t="s">
        <v>300</v>
      </c>
      <c r="E810" s="67" t="s">
        <v>134</v>
      </c>
      <c r="F810" s="67" t="s">
        <v>147</v>
      </c>
      <c r="G810" s="67" t="s">
        <v>150</v>
      </c>
      <c r="H810" s="67"/>
      <c r="I810" s="36">
        <f t="shared" si="144"/>
        <v>45</v>
      </c>
      <c r="J810" s="36">
        <f t="shared" si="144"/>
        <v>45</v>
      </c>
      <c r="K810" s="267">
        <f t="shared" si="143"/>
        <v>0</v>
      </c>
      <c r="L810" s="36">
        <f t="shared" si="144"/>
        <v>46</v>
      </c>
      <c r="M810" s="36">
        <f t="shared" si="144"/>
        <v>43</v>
      </c>
    </row>
    <row r="811" spans="1:13" ht="30">
      <c r="A811" s="115" t="s">
        <v>779</v>
      </c>
      <c r="B811" s="270" t="s">
        <v>30</v>
      </c>
      <c r="C811" s="100" t="s">
        <v>52</v>
      </c>
      <c r="D811" s="99" t="s">
        <v>300</v>
      </c>
      <c r="E811" s="99" t="s">
        <v>134</v>
      </c>
      <c r="F811" s="99" t="s">
        <v>147</v>
      </c>
      <c r="G811" s="99" t="s">
        <v>342</v>
      </c>
      <c r="H811" s="99"/>
      <c r="I811" s="74">
        <f t="shared" si="144"/>
        <v>45</v>
      </c>
      <c r="J811" s="74">
        <f t="shared" si="144"/>
        <v>45</v>
      </c>
      <c r="K811" s="271">
        <f t="shared" si="143"/>
        <v>0</v>
      </c>
      <c r="L811" s="74">
        <f t="shared" si="144"/>
        <v>46</v>
      </c>
      <c r="M811" s="74">
        <f t="shared" si="144"/>
        <v>43</v>
      </c>
    </row>
    <row r="812" spans="1:13" ht="30">
      <c r="A812" s="111" t="s">
        <v>683</v>
      </c>
      <c r="B812" s="270" t="s">
        <v>30</v>
      </c>
      <c r="C812" s="100" t="s">
        <v>52</v>
      </c>
      <c r="D812" s="99" t="s">
        <v>300</v>
      </c>
      <c r="E812" s="99" t="s">
        <v>134</v>
      </c>
      <c r="F812" s="99" t="s">
        <v>147</v>
      </c>
      <c r="G812" s="99" t="s">
        <v>342</v>
      </c>
      <c r="H812" s="99" t="s">
        <v>682</v>
      </c>
      <c r="I812" s="74">
        <v>45</v>
      </c>
      <c r="J812" s="74">
        <v>45</v>
      </c>
      <c r="K812" s="271">
        <f t="shared" si="143"/>
        <v>0</v>
      </c>
      <c r="L812" s="74">
        <v>46</v>
      </c>
      <c r="M812" s="74">
        <v>43</v>
      </c>
    </row>
    <row r="813" spans="1:13" ht="42.75">
      <c r="A813" s="127" t="s">
        <v>376</v>
      </c>
      <c r="B813" s="266">
        <v>115</v>
      </c>
      <c r="C813" s="95" t="s">
        <v>52</v>
      </c>
      <c r="D813" s="67" t="s">
        <v>345</v>
      </c>
      <c r="E813" s="67" t="s">
        <v>148</v>
      </c>
      <c r="F813" s="67" t="s">
        <v>149</v>
      </c>
      <c r="G813" s="67" t="s">
        <v>150</v>
      </c>
      <c r="H813" s="67"/>
      <c r="I813" s="36">
        <f aca="true" t="shared" si="145" ref="I813:M816">I814</f>
        <v>100</v>
      </c>
      <c r="J813" s="36">
        <f t="shared" si="145"/>
        <v>100</v>
      </c>
      <c r="K813" s="267">
        <f t="shared" si="143"/>
        <v>0</v>
      </c>
      <c r="L813" s="36">
        <f t="shared" si="145"/>
        <v>100</v>
      </c>
      <c r="M813" s="36">
        <f t="shared" si="145"/>
        <v>100</v>
      </c>
    </row>
    <row r="814" spans="1:13" ht="15">
      <c r="A814" s="124" t="s">
        <v>378</v>
      </c>
      <c r="B814" s="266">
        <v>115</v>
      </c>
      <c r="C814" s="95" t="s">
        <v>52</v>
      </c>
      <c r="D814" s="67" t="s">
        <v>345</v>
      </c>
      <c r="E814" s="67" t="s">
        <v>131</v>
      </c>
      <c r="F814" s="67" t="s">
        <v>149</v>
      </c>
      <c r="G814" s="67" t="s">
        <v>150</v>
      </c>
      <c r="H814" s="67"/>
      <c r="I814" s="36">
        <f t="shared" si="145"/>
        <v>100</v>
      </c>
      <c r="J814" s="36">
        <f t="shared" si="145"/>
        <v>100</v>
      </c>
      <c r="K814" s="267">
        <f t="shared" si="143"/>
        <v>0</v>
      </c>
      <c r="L814" s="36">
        <f t="shared" si="145"/>
        <v>100</v>
      </c>
      <c r="M814" s="36">
        <f t="shared" si="145"/>
        <v>100</v>
      </c>
    </row>
    <row r="815" spans="1:13" s="276" customFormat="1" ht="42.75">
      <c r="A815" s="125" t="s">
        <v>379</v>
      </c>
      <c r="B815" s="266" t="s">
        <v>30</v>
      </c>
      <c r="C815" s="95" t="s">
        <v>52</v>
      </c>
      <c r="D815" s="67" t="s">
        <v>345</v>
      </c>
      <c r="E815" s="67" t="s">
        <v>131</v>
      </c>
      <c r="F815" s="67" t="s">
        <v>147</v>
      </c>
      <c r="G815" s="67" t="s">
        <v>150</v>
      </c>
      <c r="H815" s="67"/>
      <c r="I815" s="36">
        <f t="shared" si="145"/>
        <v>100</v>
      </c>
      <c r="J815" s="36">
        <f t="shared" si="145"/>
        <v>100</v>
      </c>
      <c r="K815" s="267">
        <f t="shared" si="143"/>
        <v>0</v>
      </c>
      <c r="L815" s="36">
        <f t="shared" si="145"/>
        <v>100</v>
      </c>
      <c r="M815" s="36">
        <f t="shared" si="145"/>
        <v>100</v>
      </c>
    </row>
    <row r="816" spans="1:13" ht="75">
      <c r="A816" s="115" t="s">
        <v>380</v>
      </c>
      <c r="B816" s="270">
        <v>115</v>
      </c>
      <c r="C816" s="100" t="s">
        <v>52</v>
      </c>
      <c r="D816" s="99" t="s">
        <v>345</v>
      </c>
      <c r="E816" s="99" t="s">
        <v>131</v>
      </c>
      <c r="F816" s="99" t="s">
        <v>147</v>
      </c>
      <c r="G816" s="99" t="s">
        <v>381</v>
      </c>
      <c r="H816" s="99"/>
      <c r="I816" s="74">
        <f t="shared" si="145"/>
        <v>100</v>
      </c>
      <c r="J816" s="74">
        <f t="shared" si="145"/>
        <v>100</v>
      </c>
      <c r="K816" s="271">
        <f t="shared" si="143"/>
        <v>0</v>
      </c>
      <c r="L816" s="74">
        <f t="shared" si="145"/>
        <v>100</v>
      </c>
      <c r="M816" s="74">
        <f t="shared" si="145"/>
        <v>100</v>
      </c>
    </row>
    <row r="817" spans="1:13" ht="30">
      <c r="A817" s="111" t="s">
        <v>683</v>
      </c>
      <c r="B817" s="270">
        <v>115</v>
      </c>
      <c r="C817" s="100" t="s">
        <v>52</v>
      </c>
      <c r="D817" s="99" t="s">
        <v>345</v>
      </c>
      <c r="E817" s="99" t="s">
        <v>131</v>
      </c>
      <c r="F817" s="99" t="s">
        <v>147</v>
      </c>
      <c r="G817" s="99" t="s">
        <v>381</v>
      </c>
      <c r="H817" s="99" t="s">
        <v>682</v>
      </c>
      <c r="I817" s="74">
        <v>100</v>
      </c>
      <c r="J817" s="74">
        <v>100</v>
      </c>
      <c r="K817" s="271">
        <f t="shared" si="143"/>
        <v>0</v>
      </c>
      <c r="L817" s="74">
        <v>100</v>
      </c>
      <c r="M817" s="74">
        <v>100</v>
      </c>
    </row>
    <row r="818" spans="1:13" ht="15">
      <c r="A818" s="140" t="s">
        <v>83</v>
      </c>
      <c r="B818" s="266" t="s">
        <v>30</v>
      </c>
      <c r="C818" s="95" t="s">
        <v>84</v>
      </c>
      <c r="D818" s="67"/>
      <c r="E818" s="67"/>
      <c r="F818" s="67"/>
      <c r="G818" s="67"/>
      <c r="H818" s="67"/>
      <c r="I818" s="36">
        <f>I819</f>
        <v>8740.8</v>
      </c>
      <c r="J818" s="36">
        <f>J819</f>
        <v>8740.8</v>
      </c>
      <c r="K818" s="267">
        <f aca="true" t="shared" si="146" ref="K818:K825">J818-I818</f>
        <v>0</v>
      </c>
      <c r="L818" s="36">
        <f>L819</f>
        <v>8672.8</v>
      </c>
      <c r="M818" s="36">
        <f>M819</f>
        <v>9251.8</v>
      </c>
    </row>
    <row r="819" spans="1:13" ht="15">
      <c r="A819" s="127" t="s">
        <v>95</v>
      </c>
      <c r="B819" s="266" t="s">
        <v>30</v>
      </c>
      <c r="C819" s="95" t="s">
        <v>96</v>
      </c>
      <c r="D819" s="67"/>
      <c r="E819" s="67"/>
      <c r="F819" s="67"/>
      <c r="G819" s="67"/>
      <c r="H819" s="67"/>
      <c r="I819" s="36">
        <f>I820+I831+I836</f>
        <v>8740.8</v>
      </c>
      <c r="J819" s="36">
        <f>J820+J831+J836</f>
        <v>8740.8</v>
      </c>
      <c r="K819" s="267">
        <f t="shared" si="146"/>
        <v>0</v>
      </c>
      <c r="L819" s="36">
        <f>L820+L831+L836</f>
        <v>8672.8</v>
      </c>
      <c r="M819" s="36">
        <f>M820+M831+M836</f>
        <v>9251.8</v>
      </c>
    </row>
    <row r="820" spans="1:13" ht="30.75" customHeight="1">
      <c r="A820" s="127" t="s">
        <v>222</v>
      </c>
      <c r="B820" s="266" t="s">
        <v>30</v>
      </c>
      <c r="C820" s="95" t="s">
        <v>96</v>
      </c>
      <c r="D820" s="67" t="s">
        <v>223</v>
      </c>
      <c r="E820" s="67" t="s">
        <v>148</v>
      </c>
      <c r="F820" s="67" t="s">
        <v>149</v>
      </c>
      <c r="G820" s="67" t="s">
        <v>150</v>
      </c>
      <c r="H820" s="67"/>
      <c r="I820" s="36">
        <f>I821+I826</f>
        <v>1948.8</v>
      </c>
      <c r="J820" s="36">
        <f>J821+J826</f>
        <v>1948.8</v>
      </c>
      <c r="K820" s="267">
        <f t="shared" si="146"/>
        <v>0</v>
      </c>
      <c r="L820" s="36">
        <f>L821+L826</f>
        <v>1948.8</v>
      </c>
      <c r="M820" s="36">
        <f>M821+M826</f>
        <v>1948.8</v>
      </c>
    </row>
    <row r="821" spans="1:13" ht="28.5">
      <c r="A821" s="124" t="s">
        <v>138</v>
      </c>
      <c r="B821" s="266" t="s">
        <v>30</v>
      </c>
      <c r="C821" s="95" t="s">
        <v>96</v>
      </c>
      <c r="D821" s="67" t="s">
        <v>223</v>
      </c>
      <c r="E821" s="67" t="s">
        <v>131</v>
      </c>
      <c r="F821" s="67" t="s">
        <v>149</v>
      </c>
      <c r="G821" s="67" t="s">
        <v>150</v>
      </c>
      <c r="H821" s="67"/>
      <c r="I821" s="36">
        <f aca="true" t="shared" si="147" ref="I821:M822">I822</f>
        <v>909.7</v>
      </c>
      <c r="J821" s="36">
        <f t="shared" si="147"/>
        <v>909.7</v>
      </c>
      <c r="K821" s="267">
        <f t="shared" si="146"/>
        <v>0</v>
      </c>
      <c r="L821" s="36">
        <f t="shared" si="147"/>
        <v>909.7</v>
      </c>
      <c r="M821" s="36">
        <f t="shared" si="147"/>
        <v>909.7</v>
      </c>
    </row>
    <row r="822" spans="1:13" s="276" customFormat="1" ht="36" customHeight="1">
      <c r="A822" s="125" t="s">
        <v>230</v>
      </c>
      <c r="B822" s="266" t="s">
        <v>30</v>
      </c>
      <c r="C822" s="95" t="s">
        <v>96</v>
      </c>
      <c r="D822" s="95" t="s">
        <v>223</v>
      </c>
      <c r="E822" s="95" t="s">
        <v>131</v>
      </c>
      <c r="F822" s="95" t="s">
        <v>147</v>
      </c>
      <c r="G822" s="95" t="s">
        <v>150</v>
      </c>
      <c r="H822" s="67"/>
      <c r="I822" s="36">
        <f t="shared" si="147"/>
        <v>909.7</v>
      </c>
      <c r="J822" s="36">
        <f t="shared" si="147"/>
        <v>909.7</v>
      </c>
      <c r="K822" s="267">
        <f t="shared" si="146"/>
        <v>0</v>
      </c>
      <c r="L822" s="36">
        <f t="shared" si="147"/>
        <v>909.7</v>
      </c>
      <c r="M822" s="36">
        <f t="shared" si="147"/>
        <v>909.7</v>
      </c>
    </row>
    <row r="823" spans="1:13" s="156" customFormat="1" ht="45">
      <c r="A823" s="111" t="s">
        <v>232</v>
      </c>
      <c r="B823" s="270" t="s">
        <v>30</v>
      </c>
      <c r="C823" s="100" t="s">
        <v>96</v>
      </c>
      <c r="D823" s="100" t="s">
        <v>223</v>
      </c>
      <c r="E823" s="100" t="s">
        <v>131</v>
      </c>
      <c r="F823" s="100" t="s">
        <v>147</v>
      </c>
      <c r="G823" s="100" t="s">
        <v>233</v>
      </c>
      <c r="H823" s="99" t="s">
        <v>227</v>
      </c>
      <c r="I823" s="74">
        <f>I824+I825</f>
        <v>909.7</v>
      </c>
      <c r="J823" s="74">
        <f>J824+J825</f>
        <v>909.7</v>
      </c>
      <c r="K823" s="271">
        <f t="shared" si="146"/>
        <v>0</v>
      </c>
      <c r="L823" s="74">
        <f>L824+L825</f>
        <v>909.7</v>
      </c>
      <c r="M823" s="74">
        <f>M824+M825</f>
        <v>909.7</v>
      </c>
    </row>
    <row r="824" spans="1:13" s="156" customFormat="1" ht="60">
      <c r="A824" s="111" t="s">
        <v>680</v>
      </c>
      <c r="B824" s="270" t="s">
        <v>30</v>
      </c>
      <c r="C824" s="100" t="s">
        <v>96</v>
      </c>
      <c r="D824" s="100" t="s">
        <v>223</v>
      </c>
      <c r="E824" s="100" t="s">
        <v>131</v>
      </c>
      <c r="F824" s="100" t="s">
        <v>147</v>
      </c>
      <c r="G824" s="100" t="s">
        <v>233</v>
      </c>
      <c r="H824" s="99" t="s">
        <v>681</v>
      </c>
      <c r="I824" s="74">
        <v>758.1</v>
      </c>
      <c r="J824" s="74">
        <v>758.1</v>
      </c>
      <c r="K824" s="271">
        <f t="shared" si="146"/>
        <v>0</v>
      </c>
      <c r="L824" s="74">
        <v>758.1</v>
      </c>
      <c r="M824" s="74">
        <v>758.1</v>
      </c>
    </row>
    <row r="825" spans="1:13" s="156" customFormat="1" ht="30">
      <c r="A825" s="111" t="s">
        <v>683</v>
      </c>
      <c r="B825" s="270" t="s">
        <v>30</v>
      </c>
      <c r="C825" s="100" t="s">
        <v>96</v>
      </c>
      <c r="D825" s="100" t="s">
        <v>223</v>
      </c>
      <c r="E825" s="100" t="s">
        <v>131</v>
      </c>
      <c r="F825" s="100" t="s">
        <v>147</v>
      </c>
      <c r="G825" s="100" t="s">
        <v>233</v>
      </c>
      <c r="H825" s="99" t="s">
        <v>682</v>
      </c>
      <c r="I825" s="74">
        <v>151.6</v>
      </c>
      <c r="J825" s="74">
        <v>151.6</v>
      </c>
      <c r="K825" s="271">
        <f t="shared" si="146"/>
        <v>0</v>
      </c>
      <c r="L825" s="74">
        <v>151.6</v>
      </c>
      <c r="M825" s="74">
        <v>151.6</v>
      </c>
    </row>
    <row r="826" spans="1:13" s="272" customFormat="1" ht="42.75">
      <c r="A826" s="124" t="s">
        <v>239</v>
      </c>
      <c r="B826" s="266" t="s">
        <v>30</v>
      </c>
      <c r="C826" s="95" t="s">
        <v>96</v>
      </c>
      <c r="D826" s="67" t="s">
        <v>223</v>
      </c>
      <c r="E826" s="67" t="s">
        <v>132</v>
      </c>
      <c r="F826" s="67" t="s">
        <v>149</v>
      </c>
      <c r="G826" s="67" t="s">
        <v>150</v>
      </c>
      <c r="H826" s="67"/>
      <c r="I826" s="36">
        <f aca="true" t="shared" si="148" ref="I826:M827">I827</f>
        <v>1039.1</v>
      </c>
      <c r="J826" s="36">
        <f t="shared" si="148"/>
        <v>1039.1</v>
      </c>
      <c r="K826" s="267">
        <f aca="true" t="shared" si="149" ref="K826:K844">J826-I826</f>
        <v>0</v>
      </c>
      <c r="L826" s="36">
        <f t="shared" si="148"/>
        <v>1039.1</v>
      </c>
      <c r="M826" s="36">
        <f t="shared" si="148"/>
        <v>1039.1</v>
      </c>
    </row>
    <row r="827" spans="1:13" s="272" customFormat="1" ht="28.5">
      <c r="A827" s="125" t="s">
        <v>240</v>
      </c>
      <c r="B827" s="266" t="s">
        <v>30</v>
      </c>
      <c r="C827" s="95" t="s">
        <v>96</v>
      </c>
      <c r="D827" s="95" t="s">
        <v>223</v>
      </c>
      <c r="E827" s="95" t="s">
        <v>132</v>
      </c>
      <c r="F827" s="67" t="s">
        <v>147</v>
      </c>
      <c r="G827" s="67" t="s">
        <v>150</v>
      </c>
      <c r="H827" s="67"/>
      <c r="I827" s="36">
        <f t="shared" si="148"/>
        <v>1039.1</v>
      </c>
      <c r="J827" s="36">
        <f t="shared" si="148"/>
        <v>1039.1</v>
      </c>
      <c r="K827" s="267">
        <f t="shared" si="149"/>
        <v>0</v>
      </c>
      <c r="L827" s="36">
        <f t="shared" si="148"/>
        <v>1039.1</v>
      </c>
      <c r="M827" s="36">
        <f t="shared" si="148"/>
        <v>1039.1</v>
      </c>
    </row>
    <row r="828" spans="1:13" s="156" customFormat="1" ht="105">
      <c r="A828" s="111" t="s">
        <v>251</v>
      </c>
      <c r="B828" s="270" t="s">
        <v>30</v>
      </c>
      <c r="C828" s="100" t="s">
        <v>96</v>
      </c>
      <c r="D828" s="100" t="s">
        <v>223</v>
      </c>
      <c r="E828" s="100" t="s">
        <v>132</v>
      </c>
      <c r="F828" s="99" t="s">
        <v>147</v>
      </c>
      <c r="G828" s="100" t="s">
        <v>252</v>
      </c>
      <c r="H828" s="99"/>
      <c r="I828" s="74">
        <f>I829+I830</f>
        <v>1039.1</v>
      </c>
      <c r="J828" s="74">
        <f>J829+J830</f>
        <v>1039.1</v>
      </c>
      <c r="K828" s="271">
        <f t="shared" si="149"/>
        <v>0</v>
      </c>
      <c r="L828" s="74">
        <f>L829+L830</f>
        <v>1039.1</v>
      </c>
      <c r="M828" s="74">
        <f>M829+M830</f>
        <v>1039.1</v>
      </c>
    </row>
    <row r="829" spans="1:13" s="272" customFormat="1" ht="60">
      <c r="A829" s="111" t="s">
        <v>680</v>
      </c>
      <c r="B829" s="270" t="s">
        <v>30</v>
      </c>
      <c r="C829" s="100" t="s">
        <v>96</v>
      </c>
      <c r="D829" s="100" t="s">
        <v>223</v>
      </c>
      <c r="E829" s="100" t="s">
        <v>132</v>
      </c>
      <c r="F829" s="99" t="s">
        <v>147</v>
      </c>
      <c r="G829" s="100" t="s">
        <v>252</v>
      </c>
      <c r="H829" s="99" t="s">
        <v>681</v>
      </c>
      <c r="I829" s="74">
        <v>865.9</v>
      </c>
      <c r="J829" s="74">
        <v>865.9</v>
      </c>
      <c r="K829" s="271">
        <f t="shared" si="149"/>
        <v>0</v>
      </c>
      <c r="L829" s="74">
        <v>865.9</v>
      </c>
      <c r="M829" s="74">
        <v>865.9</v>
      </c>
    </row>
    <row r="830" spans="1:13" s="272" customFormat="1" ht="30">
      <c r="A830" s="111" t="s">
        <v>683</v>
      </c>
      <c r="B830" s="270" t="s">
        <v>30</v>
      </c>
      <c r="C830" s="100" t="s">
        <v>96</v>
      </c>
      <c r="D830" s="100" t="s">
        <v>223</v>
      </c>
      <c r="E830" s="100" t="s">
        <v>132</v>
      </c>
      <c r="F830" s="99" t="s">
        <v>147</v>
      </c>
      <c r="G830" s="100" t="s">
        <v>252</v>
      </c>
      <c r="H830" s="99" t="s">
        <v>682</v>
      </c>
      <c r="I830" s="74">
        <v>173.2</v>
      </c>
      <c r="J830" s="74">
        <v>173.2</v>
      </c>
      <c r="K830" s="271">
        <f t="shared" si="149"/>
        <v>0</v>
      </c>
      <c r="L830" s="74">
        <v>173.2</v>
      </c>
      <c r="M830" s="74">
        <v>173.2</v>
      </c>
    </row>
    <row r="831" spans="1:13" s="156" customFormat="1" ht="42.75">
      <c r="A831" s="110" t="s">
        <v>331</v>
      </c>
      <c r="B831" s="266" t="s">
        <v>30</v>
      </c>
      <c r="C831" s="95" t="s">
        <v>96</v>
      </c>
      <c r="D831" s="67" t="s">
        <v>300</v>
      </c>
      <c r="E831" s="67" t="s">
        <v>148</v>
      </c>
      <c r="F831" s="67" t="s">
        <v>149</v>
      </c>
      <c r="G831" s="67" t="s">
        <v>150</v>
      </c>
      <c r="H831" s="67"/>
      <c r="I831" s="36">
        <f aca="true" t="shared" si="150" ref="I831:M834">I832</f>
        <v>50</v>
      </c>
      <c r="J831" s="36">
        <f t="shared" si="150"/>
        <v>50</v>
      </c>
      <c r="K831" s="267">
        <f t="shared" si="149"/>
        <v>0</v>
      </c>
      <c r="L831" s="36">
        <f t="shared" si="150"/>
        <v>50</v>
      </c>
      <c r="M831" s="36">
        <f t="shared" si="150"/>
        <v>50</v>
      </c>
    </row>
    <row r="832" spans="1:13" s="156" customFormat="1" ht="42.75">
      <c r="A832" s="97" t="s">
        <v>777</v>
      </c>
      <c r="B832" s="266" t="s">
        <v>30</v>
      </c>
      <c r="C832" s="95" t="s">
        <v>96</v>
      </c>
      <c r="D832" s="67" t="s">
        <v>300</v>
      </c>
      <c r="E832" s="67" t="s">
        <v>134</v>
      </c>
      <c r="F832" s="67" t="s">
        <v>149</v>
      </c>
      <c r="G832" s="67" t="s">
        <v>150</v>
      </c>
      <c r="H832" s="67"/>
      <c r="I832" s="36">
        <f t="shared" si="150"/>
        <v>50</v>
      </c>
      <c r="J832" s="36">
        <f t="shared" si="150"/>
        <v>50</v>
      </c>
      <c r="K832" s="267">
        <f t="shared" si="149"/>
        <v>0</v>
      </c>
      <c r="L832" s="36">
        <f t="shared" si="150"/>
        <v>50</v>
      </c>
      <c r="M832" s="36">
        <f t="shared" si="150"/>
        <v>50</v>
      </c>
    </row>
    <row r="833" spans="1:13" s="272" customFormat="1" ht="28.5">
      <c r="A833" s="124" t="s">
        <v>778</v>
      </c>
      <c r="B833" s="266" t="s">
        <v>30</v>
      </c>
      <c r="C833" s="95" t="s">
        <v>96</v>
      </c>
      <c r="D833" s="67" t="s">
        <v>300</v>
      </c>
      <c r="E833" s="67" t="s">
        <v>134</v>
      </c>
      <c r="F833" s="67" t="s">
        <v>147</v>
      </c>
      <c r="G833" s="67" t="s">
        <v>150</v>
      </c>
      <c r="H833" s="67"/>
      <c r="I833" s="36">
        <f t="shared" si="150"/>
        <v>50</v>
      </c>
      <c r="J833" s="36">
        <f t="shared" si="150"/>
        <v>50</v>
      </c>
      <c r="K833" s="267">
        <f t="shared" si="149"/>
        <v>0</v>
      </c>
      <c r="L833" s="36">
        <f t="shared" si="150"/>
        <v>50</v>
      </c>
      <c r="M833" s="36">
        <f t="shared" si="150"/>
        <v>50</v>
      </c>
    </row>
    <row r="834" spans="1:13" s="272" customFormat="1" ht="30">
      <c r="A834" s="115" t="s">
        <v>343</v>
      </c>
      <c r="B834" s="270" t="s">
        <v>30</v>
      </c>
      <c r="C834" s="100" t="s">
        <v>96</v>
      </c>
      <c r="D834" s="99" t="s">
        <v>300</v>
      </c>
      <c r="E834" s="99" t="s">
        <v>134</v>
      </c>
      <c r="F834" s="99" t="s">
        <v>147</v>
      </c>
      <c r="G834" s="99" t="s">
        <v>344</v>
      </c>
      <c r="H834" s="99"/>
      <c r="I834" s="74">
        <f t="shared" si="150"/>
        <v>50</v>
      </c>
      <c r="J834" s="74">
        <f t="shared" si="150"/>
        <v>50</v>
      </c>
      <c r="K834" s="271">
        <f t="shared" si="149"/>
        <v>0</v>
      </c>
      <c r="L834" s="74">
        <f t="shared" si="150"/>
        <v>50</v>
      </c>
      <c r="M834" s="74">
        <f t="shared" si="150"/>
        <v>50</v>
      </c>
    </row>
    <row r="835" spans="1:13" s="156" customFormat="1" ht="30">
      <c r="A835" s="111" t="s">
        <v>683</v>
      </c>
      <c r="B835" s="270" t="s">
        <v>30</v>
      </c>
      <c r="C835" s="100" t="s">
        <v>96</v>
      </c>
      <c r="D835" s="99" t="s">
        <v>300</v>
      </c>
      <c r="E835" s="99" t="s">
        <v>134</v>
      </c>
      <c r="F835" s="99" t="s">
        <v>147</v>
      </c>
      <c r="G835" s="99" t="s">
        <v>344</v>
      </c>
      <c r="H835" s="99" t="s">
        <v>682</v>
      </c>
      <c r="I835" s="74">
        <v>50</v>
      </c>
      <c r="J835" s="74">
        <v>50</v>
      </c>
      <c r="K835" s="271">
        <f t="shared" si="149"/>
        <v>0</v>
      </c>
      <c r="L835" s="74">
        <v>50</v>
      </c>
      <c r="M835" s="74">
        <v>50</v>
      </c>
    </row>
    <row r="836" spans="1:13" s="156" customFormat="1" ht="28.5">
      <c r="A836" s="127" t="s">
        <v>396</v>
      </c>
      <c r="B836" s="266" t="s">
        <v>30</v>
      </c>
      <c r="C836" s="95" t="s">
        <v>96</v>
      </c>
      <c r="D836" s="95" t="s">
        <v>397</v>
      </c>
      <c r="E836" s="95" t="s">
        <v>148</v>
      </c>
      <c r="F836" s="95" t="s">
        <v>149</v>
      </c>
      <c r="G836" s="95" t="s">
        <v>150</v>
      </c>
      <c r="H836" s="94"/>
      <c r="I836" s="36">
        <f aca="true" t="shared" si="151" ref="I836:M837">I837</f>
        <v>6742</v>
      </c>
      <c r="J836" s="36">
        <f t="shared" si="151"/>
        <v>6742</v>
      </c>
      <c r="K836" s="267">
        <f t="shared" si="149"/>
        <v>0</v>
      </c>
      <c r="L836" s="36">
        <f t="shared" si="151"/>
        <v>6674</v>
      </c>
      <c r="M836" s="36">
        <f t="shared" si="151"/>
        <v>7253</v>
      </c>
    </row>
    <row r="837" spans="1:13" s="156" customFormat="1" ht="28.5">
      <c r="A837" s="124" t="s">
        <v>483</v>
      </c>
      <c r="B837" s="266" t="s">
        <v>30</v>
      </c>
      <c r="C837" s="95" t="s">
        <v>96</v>
      </c>
      <c r="D837" s="67" t="s">
        <v>397</v>
      </c>
      <c r="E837" s="67" t="s">
        <v>134</v>
      </c>
      <c r="F837" s="67" t="s">
        <v>149</v>
      </c>
      <c r="G837" s="67" t="s">
        <v>150</v>
      </c>
      <c r="H837" s="67"/>
      <c r="I837" s="36">
        <f t="shared" si="151"/>
        <v>6742</v>
      </c>
      <c r="J837" s="36">
        <f t="shared" si="151"/>
        <v>6742</v>
      </c>
      <c r="K837" s="267">
        <f t="shared" si="149"/>
        <v>0</v>
      </c>
      <c r="L837" s="36">
        <f t="shared" si="151"/>
        <v>6674</v>
      </c>
      <c r="M837" s="36">
        <f t="shared" si="151"/>
        <v>7253</v>
      </c>
    </row>
    <row r="838" spans="1:13" s="272" customFormat="1" ht="14.25">
      <c r="A838" s="125" t="s">
        <v>399</v>
      </c>
      <c r="B838" s="266" t="s">
        <v>30</v>
      </c>
      <c r="C838" s="95" t="s">
        <v>96</v>
      </c>
      <c r="D838" s="95" t="s">
        <v>397</v>
      </c>
      <c r="E838" s="95" t="s">
        <v>134</v>
      </c>
      <c r="F838" s="95" t="s">
        <v>147</v>
      </c>
      <c r="G838" s="95" t="s">
        <v>150</v>
      </c>
      <c r="H838" s="94"/>
      <c r="I838" s="36">
        <f>I839+I843</f>
        <v>6742</v>
      </c>
      <c r="J838" s="36">
        <f>J839+J843</f>
        <v>6742</v>
      </c>
      <c r="K838" s="267">
        <f t="shared" si="149"/>
        <v>0</v>
      </c>
      <c r="L838" s="36">
        <f>L839+L843</f>
        <v>6674</v>
      </c>
      <c r="M838" s="36">
        <f>M839+M843</f>
        <v>7253</v>
      </c>
    </row>
    <row r="839" spans="1:13" s="156" customFormat="1" ht="15">
      <c r="A839" s="111" t="s">
        <v>400</v>
      </c>
      <c r="B839" s="270" t="s">
        <v>30</v>
      </c>
      <c r="C839" s="100" t="s">
        <v>96</v>
      </c>
      <c r="D839" s="100" t="s">
        <v>397</v>
      </c>
      <c r="E839" s="100" t="s">
        <v>134</v>
      </c>
      <c r="F839" s="100" t="s">
        <v>147</v>
      </c>
      <c r="G839" s="100" t="s">
        <v>401</v>
      </c>
      <c r="H839" s="117"/>
      <c r="I839" s="74">
        <f>I840+I841+I842</f>
        <v>6742</v>
      </c>
      <c r="J839" s="74">
        <f>J840+J841+J842</f>
        <v>6742</v>
      </c>
      <c r="K839" s="271">
        <f t="shared" si="149"/>
        <v>0</v>
      </c>
      <c r="L839" s="74">
        <f>L840+L841+L842</f>
        <v>6674</v>
      </c>
      <c r="M839" s="74">
        <f>M840+M841+M842</f>
        <v>7253</v>
      </c>
    </row>
    <row r="840" spans="1:13" s="268" customFormat="1" ht="60">
      <c r="A840" s="111" t="s">
        <v>680</v>
      </c>
      <c r="B840" s="270" t="s">
        <v>30</v>
      </c>
      <c r="C840" s="100" t="s">
        <v>96</v>
      </c>
      <c r="D840" s="100" t="s">
        <v>397</v>
      </c>
      <c r="E840" s="100" t="s">
        <v>134</v>
      </c>
      <c r="F840" s="100" t="s">
        <v>147</v>
      </c>
      <c r="G840" s="100" t="s">
        <v>401</v>
      </c>
      <c r="H840" s="117">
        <v>100</v>
      </c>
      <c r="I840" s="74">
        <v>6488</v>
      </c>
      <c r="J840" s="74">
        <v>6488</v>
      </c>
      <c r="K840" s="271">
        <f t="shared" si="149"/>
        <v>0</v>
      </c>
      <c r="L840" s="74">
        <v>6406</v>
      </c>
      <c r="M840" s="74">
        <f>6660+352</f>
        <v>7012</v>
      </c>
    </row>
    <row r="841" spans="1:13" s="268" customFormat="1" ht="30">
      <c r="A841" s="111" t="s">
        <v>683</v>
      </c>
      <c r="B841" s="270" t="s">
        <v>30</v>
      </c>
      <c r="C841" s="100" t="s">
        <v>96</v>
      </c>
      <c r="D841" s="100" t="s">
        <v>397</v>
      </c>
      <c r="E841" s="100" t="s">
        <v>134</v>
      </c>
      <c r="F841" s="100" t="s">
        <v>147</v>
      </c>
      <c r="G841" s="100" t="s">
        <v>401</v>
      </c>
      <c r="H841" s="117">
        <v>200</v>
      </c>
      <c r="I841" s="74">
        <v>244</v>
      </c>
      <c r="J841" s="74">
        <v>244</v>
      </c>
      <c r="K841" s="271">
        <f t="shared" si="149"/>
        <v>0</v>
      </c>
      <c r="L841" s="74">
        <v>258</v>
      </c>
      <c r="M841" s="74">
        <f>583-352</f>
        <v>231</v>
      </c>
    </row>
    <row r="842" spans="1:13" s="268" customFormat="1" ht="15">
      <c r="A842" s="111" t="s">
        <v>684</v>
      </c>
      <c r="B842" s="270" t="s">
        <v>30</v>
      </c>
      <c r="C842" s="100" t="s">
        <v>96</v>
      </c>
      <c r="D842" s="100" t="s">
        <v>397</v>
      </c>
      <c r="E842" s="100" t="s">
        <v>134</v>
      </c>
      <c r="F842" s="100" t="s">
        <v>147</v>
      </c>
      <c r="G842" s="100" t="s">
        <v>401</v>
      </c>
      <c r="H842" s="117">
        <v>800</v>
      </c>
      <c r="I842" s="74">
        <v>10</v>
      </c>
      <c r="J842" s="74">
        <v>10</v>
      </c>
      <c r="K842" s="271">
        <f t="shared" si="149"/>
        <v>0</v>
      </c>
      <c r="L842" s="74">
        <v>10</v>
      </c>
      <c r="M842" s="74">
        <v>10</v>
      </c>
    </row>
    <row r="843" spans="1:13" s="268" customFormat="1" ht="45" hidden="1">
      <c r="A843" s="111" t="s">
        <v>986</v>
      </c>
      <c r="B843" s="270" t="s">
        <v>30</v>
      </c>
      <c r="C843" s="100" t="s">
        <v>96</v>
      </c>
      <c r="D843" s="100" t="s">
        <v>397</v>
      </c>
      <c r="E843" s="100" t="s">
        <v>134</v>
      </c>
      <c r="F843" s="100" t="s">
        <v>147</v>
      </c>
      <c r="G843" s="100" t="s">
        <v>987</v>
      </c>
      <c r="H843" s="117"/>
      <c r="I843" s="74"/>
      <c r="J843" s="74">
        <f>J844</f>
        <v>0</v>
      </c>
      <c r="K843" s="271">
        <f t="shared" si="149"/>
        <v>0</v>
      </c>
      <c r="L843" s="74">
        <f>L844</f>
        <v>0</v>
      </c>
      <c r="M843" s="74">
        <f>M844</f>
        <v>0</v>
      </c>
    </row>
    <row r="844" spans="1:13" s="268" customFormat="1" ht="30" hidden="1">
      <c r="A844" s="111" t="s">
        <v>683</v>
      </c>
      <c r="B844" s="270" t="s">
        <v>30</v>
      </c>
      <c r="C844" s="100" t="s">
        <v>96</v>
      </c>
      <c r="D844" s="100" t="s">
        <v>397</v>
      </c>
      <c r="E844" s="100" t="s">
        <v>134</v>
      </c>
      <c r="F844" s="100" t="s">
        <v>147</v>
      </c>
      <c r="G844" s="100" t="s">
        <v>987</v>
      </c>
      <c r="H844" s="117">
        <v>200</v>
      </c>
      <c r="I844" s="74"/>
      <c r="J844" s="74"/>
      <c r="K844" s="271">
        <f t="shared" si="149"/>
        <v>0</v>
      </c>
      <c r="L844" s="74"/>
      <c r="M844" s="74"/>
    </row>
    <row r="845" spans="1:13" s="269" customFormat="1" ht="42.75">
      <c r="A845" s="127" t="s">
        <v>494</v>
      </c>
      <c r="B845" s="266" t="s">
        <v>31</v>
      </c>
      <c r="C845" s="95"/>
      <c r="D845" s="67"/>
      <c r="E845" s="67"/>
      <c r="F845" s="67"/>
      <c r="G845" s="67"/>
      <c r="H845" s="67"/>
      <c r="I845" s="36">
        <f>I846+I853+I1051+I1066</f>
        <v>2221732.4</v>
      </c>
      <c r="J845" s="36">
        <f>J846+J853+J1051+J1066</f>
        <v>2246773.4</v>
      </c>
      <c r="K845" s="267">
        <f aca="true" t="shared" si="152" ref="K845:K852">J845-I845</f>
        <v>25041</v>
      </c>
      <c r="L845" s="36">
        <f>L846+L853+L1051+L1066</f>
        <v>2018280.6500000004</v>
      </c>
      <c r="M845" s="36">
        <f>M846+M853+M1051+M1066</f>
        <v>1994652.7000000002</v>
      </c>
    </row>
    <row r="846" spans="1:13" s="269" customFormat="1" ht="15">
      <c r="A846" s="127" t="s">
        <v>79</v>
      </c>
      <c r="B846" s="266" t="s">
        <v>31</v>
      </c>
      <c r="C846" s="95" t="s">
        <v>80</v>
      </c>
      <c r="D846" s="67"/>
      <c r="E846" s="67"/>
      <c r="F846" s="67"/>
      <c r="G846" s="67"/>
      <c r="H846" s="67"/>
      <c r="I846" s="36">
        <f aca="true" t="shared" si="153" ref="I846:M851">I847</f>
        <v>304</v>
      </c>
      <c r="J846" s="36">
        <f t="shared" si="153"/>
        <v>304</v>
      </c>
      <c r="K846" s="267">
        <f t="shared" si="152"/>
        <v>0</v>
      </c>
      <c r="L846" s="36">
        <f t="shared" si="153"/>
        <v>305</v>
      </c>
      <c r="M846" s="36">
        <f t="shared" si="153"/>
        <v>304</v>
      </c>
    </row>
    <row r="847" spans="1:13" s="269" customFormat="1" ht="15">
      <c r="A847" s="127" t="s">
        <v>81</v>
      </c>
      <c r="B847" s="266" t="s">
        <v>31</v>
      </c>
      <c r="C847" s="95" t="s">
        <v>82</v>
      </c>
      <c r="D847" s="67"/>
      <c r="E847" s="67"/>
      <c r="F847" s="67"/>
      <c r="G847" s="67"/>
      <c r="H847" s="67"/>
      <c r="I847" s="36">
        <f t="shared" si="153"/>
        <v>304</v>
      </c>
      <c r="J847" s="36">
        <f t="shared" si="153"/>
        <v>304</v>
      </c>
      <c r="K847" s="267">
        <f t="shared" si="152"/>
        <v>0</v>
      </c>
      <c r="L847" s="36">
        <f t="shared" si="153"/>
        <v>305</v>
      </c>
      <c r="M847" s="36">
        <f t="shared" si="153"/>
        <v>304</v>
      </c>
    </row>
    <row r="848" spans="1:13" s="269" customFormat="1" ht="42.75">
      <c r="A848" s="127" t="s">
        <v>783</v>
      </c>
      <c r="B848" s="266" t="s">
        <v>31</v>
      </c>
      <c r="C848" s="95" t="s">
        <v>82</v>
      </c>
      <c r="D848" s="67" t="s">
        <v>345</v>
      </c>
      <c r="E848" s="67" t="s">
        <v>148</v>
      </c>
      <c r="F848" s="67" t="s">
        <v>149</v>
      </c>
      <c r="G848" s="67" t="s">
        <v>150</v>
      </c>
      <c r="H848" s="67"/>
      <c r="I848" s="36">
        <f t="shared" si="153"/>
        <v>304</v>
      </c>
      <c r="J848" s="36">
        <f t="shared" si="153"/>
        <v>304</v>
      </c>
      <c r="K848" s="267">
        <f t="shared" si="152"/>
        <v>0</v>
      </c>
      <c r="L848" s="36">
        <f t="shared" si="153"/>
        <v>305</v>
      </c>
      <c r="M848" s="36">
        <f t="shared" si="153"/>
        <v>304</v>
      </c>
    </row>
    <row r="849" spans="1:13" s="269" customFormat="1" ht="28.5">
      <c r="A849" s="116" t="s">
        <v>788</v>
      </c>
      <c r="B849" s="266" t="s">
        <v>31</v>
      </c>
      <c r="C849" s="95" t="s">
        <v>82</v>
      </c>
      <c r="D849" s="67" t="s">
        <v>345</v>
      </c>
      <c r="E849" s="67" t="s">
        <v>135</v>
      </c>
      <c r="F849" s="67" t="s">
        <v>149</v>
      </c>
      <c r="G849" s="67" t="s">
        <v>150</v>
      </c>
      <c r="H849" s="67"/>
      <c r="I849" s="36">
        <f t="shared" si="153"/>
        <v>304</v>
      </c>
      <c r="J849" s="36">
        <f t="shared" si="153"/>
        <v>304</v>
      </c>
      <c r="K849" s="267">
        <f t="shared" si="152"/>
        <v>0</v>
      </c>
      <c r="L849" s="36">
        <f t="shared" si="153"/>
        <v>305</v>
      </c>
      <c r="M849" s="36">
        <f t="shared" si="153"/>
        <v>304</v>
      </c>
    </row>
    <row r="850" spans="1:13" s="268" customFormat="1" ht="42.75">
      <c r="A850" s="116" t="s">
        <v>285</v>
      </c>
      <c r="B850" s="266" t="s">
        <v>31</v>
      </c>
      <c r="C850" s="95" t="s">
        <v>82</v>
      </c>
      <c r="D850" s="67" t="s">
        <v>345</v>
      </c>
      <c r="E850" s="67" t="s">
        <v>135</v>
      </c>
      <c r="F850" s="67" t="s">
        <v>147</v>
      </c>
      <c r="G850" s="67" t="s">
        <v>150</v>
      </c>
      <c r="H850" s="67"/>
      <c r="I850" s="36">
        <f t="shared" si="153"/>
        <v>304</v>
      </c>
      <c r="J850" s="36">
        <f t="shared" si="153"/>
        <v>304</v>
      </c>
      <c r="K850" s="267">
        <f t="shared" si="152"/>
        <v>0</v>
      </c>
      <c r="L850" s="36">
        <f t="shared" si="153"/>
        <v>305</v>
      </c>
      <c r="M850" s="36">
        <f t="shared" si="153"/>
        <v>304</v>
      </c>
    </row>
    <row r="851" spans="1:13" s="268" customFormat="1" ht="30">
      <c r="A851" s="109" t="s">
        <v>789</v>
      </c>
      <c r="B851" s="270" t="s">
        <v>31</v>
      </c>
      <c r="C851" s="100" t="s">
        <v>82</v>
      </c>
      <c r="D851" s="99" t="s">
        <v>345</v>
      </c>
      <c r="E851" s="99" t="s">
        <v>135</v>
      </c>
      <c r="F851" s="99" t="s">
        <v>147</v>
      </c>
      <c r="G851" s="99" t="s">
        <v>286</v>
      </c>
      <c r="H851" s="99"/>
      <c r="I851" s="74">
        <f t="shared" si="153"/>
        <v>304</v>
      </c>
      <c r="J851" s="74">
        <f t="shared" si="153"/>
        <v>304</v>
      </c>
      <c r="K851" s="271">
        <f t="shared" si="152"/>
        <v>0</v>
      </c>
      <c r="L851" s="74">
        <f t="shared" si="153"/>
        <v>305</v>
      </c>
      <c r="M851" s="74">
        <f t="shared" si="153"/>
        <v>304</v>
      </c>
    </row>
    <row r="852" spans="1:13" s="269" customFormat="1" ht="30">
      <c r="A852" s="111" t="s">
        <v>688</v>
      </c>
      <c r="B852" s="270" t="s">
        <v>31</v>
      </c>
      <c r="C852" s="100" t="s">
        <v>82</v>
      </c>
      <c r="D852" s="99" t="s">
        <v>345</v>
      </c>
      <c r="E852" s="99" t="s">
        <v>135</v>
      </c>
      <c r="F852" s="99" t="s">
        <v>147</v>
      </c>
      <c r="G852" s="99" t="s">
        <v>286</v>
      </c>
      <c r="H852" s="99" t="s">
        <v>689</v>
      </c>
      <c r="I852" s="74">
        <v>304</v>
      </c>
      <c r="J852" s="74">
        <v>304</v>
      </c>
      <c r="K852" s="271">
        <f t="shared" si="152"/>
        <v>0</v>
      </c>
      <c r="L852" s="74">
        <v>305</v>
      </c>
      <c r="M852" s="74">
        <v>304</v>
      </c>
    </row>
    <row r="853" spans="1:13" s="269" customFormat="1" ht="15">
      <c r="A853" s="127" t="s">
        <v>469</v>
      </c>
      <c r="B853" s="266" t="s">
        <v>31</v>
      </c>
      <c r="C853" s="95" t="s">
        <v>84</v>
      </c>
      <c r="D853" s="67"/>
      <c r="E853" s="67"/>
      <c r="F853" s="67"/>
      <c r="G853" s="67"/>
      <c r="H853" s="67"/>
      <c r="I853" s="36">
        <f>I854+I892+I962+I987+I993+I1007</f>
        <v>2147448</v>
      </c>
      <c r="J853" s="36">
        <f>J854+J892+J962+J987+J993+J1007</f>
        <v>2172489</v>
      </c>
      <c r="K853" s="267">
        <f aca="true" t="shared" si="154" ref="K853:K866">J853-I853</f>
        <v>25041</v>
      </c>
      <c r="L853" s="36">
        <f>L854+L892+L962+L987+L993+L1007</f>
        <v>1954766.5500000003</v>
      </c>
      <c r="M853" s="36">
        <f>M854+M892+M962+M987+M993+M1007</f>
        <v>1931141.4000000001</v>
      </c>
    </row>
    <row r="854" spans="1:13" ht="15">
      <c r="A854" s="127" t="s">
        <v>85</v>
      </c>
      <c r="B854" s="266" t="s">
        <v>31</v>
      </c>
      <c r="C854" s="95" t="s">
        <v>86</v>
      </c>
      <c r="D854" s="67"/>
      <c r="E854" s="67"/>
      <c r="F854" s="67"/>
      <c r="G854" s="67"/>
      <c r="H854" s="67"/>
      <c r="I854" s="36">
        <f>I855+I883</f>
        <v>772586.9</v>
      </c>
      <c r="J854" s="36">
        <f>J855+J883</f>
        <v>782462.2999999999</v>
      </c>
      <c r="K854" s="267">
        <f t="shared" si="154"/>
        <v>9875.399999999907</v>
      </c>
      <c r="L854" s="36">
        <f>L855+L883</f>
        <v>696994.05</v>
      </c>
      <c r="M854" s="36">
        <f>M855+M883</f>
        <v>703515.9</v>
      </c>
    </row>
    <row r="855" spans="1:13" ht="35.25" customHeight="1">
      <c r="A855" s="127" t="s">
        <v>222</v>
      </c>
      <c r="B855" s="266" t="s">
        <v>31</v>
      </c>
      <c r="C855" s="95" t="s">
        <v>86</v>
      </c>
      <c r="D855" s="67" t="s">
        <v>223</v>
      </c>
      <c r="E855" s="67" t="s">
        <v>148</v>
      </c>
      <c r="F855" s="67" t="s">
        <v>149</v>
      </c>
      <c r="G855" s="67" t="s">
        <v>150</v>
      </c>
      <c r="H855" s="67"/>
      <c r="I855" s="36">
        <f>I856</f>
        <v>767366.7000000001</v>
      </c>
      <c r="J855" s="36">
        <f>J856</f>
        <v>777242.1</v>
      </c>
      <c r="K855" s="267">
        <f t="shared" si="154"/>
        <v>9875.399999999907</v>
      </c>
      <c r="L855" s="36">
        <f>L856</f>
        <v>696994.05</v>
      </c>
      <c r="M855" s="36">
        <f>M856</f>
        <v>703515.9</v>
      </c>
    </row>
    <row r="856" spans="1:13" s="276" customFormat="1" ht="28.5">
      <c r="A856" s="124" t="s">
        <v>138</v>
      </c>
      <c r="B856" s="266" t="s">
        <v>31</v>
      </c>
      <c r="C856" s="95" t="s">
        <v>86</v>
      </c>
      <c r="D856" s="67" t="s">
        <v>223</v>
      </c>
      <c r="E856" s="67" t="s">
        <v>131</v>
      </c>
      <c r="F856" s="67" t="s">
        <v>149</v>
      </c>
      <c r="G856" s="67" t="s">
        <v>150</v>
      </c>
      <c r="H856" s="67"/>
      <c r="I856" s="36">
        <f>I857+I866</f>
        <v>767366.7000000001</v>
      </c>
      <c r="J856" s="36">
        <f>J857+J866</f>
        <v>777242.1</v>
      </c>
      <c r="K856" s="267">
        <f t="shared" si="154"/>
        <v>9875.399999999907</v>
      </c>
      <c r="L856" s="36">
        <f>L857+L866</f>
        <v>696994.05</v>
      </c>
      <c r="M856" s="36">
        <f>M857+M866</f>
        <v>703515.9</v>
      </c>
    </row>
    <row r="857" spans="1:13" s="276" customFormat="1" ht="28.5">
      <c r="A857" s="125" t="s">
        <v>224</v>
      </c>
      <c r="B857" s="266" t="s">
        <v>31</v>
      </c>
      <c r="C857" s="95" t="s">
        <v>86</v>
      </c>
      <c r="D857" s="95" t="s">
        <v>223</v>
      </c>
      <c r="E857" s="95" t="s">
        <v>131</v>
      </c>
      <c r="F857" s="67" t="s">
        <v>147</v>
      </c>
      <c r="G857" s="67" t="s">
        <v>150</v>
      </c>
      <c r="H857" s="67"/>
      <c r="I857" s="36">
        <f>I858+I860+I862+I864</f>
        <v>703907.9</v>
      </c>
      <c r="J857" s="36">
        <f>J858+J860+J862+J864</f>
        <v>712985.9</v>
      </c>
      <c r="K857" s="267">
        <f t="shared" si="154"/>
        <v>9078</v>
      </c>
      <c r="L857" s="36">
        <f>L858+L860+L862+L864</f>
        <v>675472.3</v>
      </c>
      <c r="M857" s="36">
        <f>M858+M860+M862+M864</f>
        <v>698422.1</v>
      </c>
    </row>
    <row r="858" spans="1:13" s="276" customFormat="1" ht="30">
      <c r="A858" s="111" t="s">
        <v>486</v>
      </c>
      <c r="B858" s="270" t="s">
        <v>31</v>
      </c>
      <c r="C858" s="100" t="s">
        <v>86</v>
      </c>
      <c r="D858" s="100" t="s">
        <v>223</v>
      </c>
      <c r="E858" s="100" t="s">
        <v>131</v>
      </c>
      <c r="F858" s="99" t="s">
        <v>147</v>
      </c>
      <c r="G858" s="100" t="s">
        <v>194</v>
      </c>
      <c r="H858" s="117"/>
      <c r="I858" s="74">
        <f>I859</f>
        <v>158340.40000000002</v>
      </c>
      <c r="J858" s="74">
        <f>J859</f>
        <v>167418.40000000002</v>
      </c>
      <c r="K858" s="271">
        <f t="shared" si="154"/>
        <v>9078</v>
      </c>
      <c r="L858" s="74">
        <f>L859</f>
        <v>151101.5</v>
      </c>
      <c r="M858" s="74">
        <f>M859</f>
        <v>153076.5</v>
      </c>
    </row>
    <row r="859" spans="1:13" s="276" customFormat="1" ht="30">
      <c r="A859" s="111" t="s">
        <v>688</v>
      </c>
      <c r="B859" s="270" t="s">
        <v>31</v>
      </c>
      <c r="C859" s="100" t="s">
        <v>86</v>
      </c>
      <c r="D859" s="100" t="s">
        <v>223</v>
      </c>
      <c r="E859" s="100" t="s">
        <v>131</v>
      </c>
      <c r="F859" s="99" t="s">
        <v>147</v>
      </c>
      <c r="G859" s="100" t="s">
        <v>194</v>
      </c>
      <c r="H859" s="117">
        <v>600</v>
      </c>
      <c r="I859" s="74">
        <f>148676.7+3000+2250.1+4200+213.6</f>
        <v>158340.40000000002</v>
      </c>
      <c r="J859" s="74">
        <f>148676.7+3000+2250.1+4200+213.6+9078</f>
        <v>167418.40000000002</v>
      </c>
      <c r="K859" s="271">
        <f t="shared" si="154"/>
        <v>9078</v>
      </c>
      <c r="L859" s="74">
        <f>149204+1897.5</f>
        <v>151101.5</v>
      </c>
      <c r="M859" s="74">
        <v>153076.5</v>
      </c>
    </row>
    <row r="860" spans="1:13" s="276" customFormat="1" ht="105">
      <c r="A860" s="111" t="s">
        <v>13</v>
      </c>
      <c r="B860" s="270" t="s">
        <v>31</v>
      </c>
      <c r="C860" s="100" t="s">
        <v>86</v>
      </c>
      <c r="D860" s="100" t="s">
        <v>223</v>
      </c>
      <c r="E860" s="100" t="s">
        <v>131</v>
      </c>
      <c r="F860" s="99" t="s">
        <v>147</v>
      </c>
      <c r="G860" s="100" t="s">
        <v>226</v>
      </c>
      <c r="H860" s="99" t="s">
        <v>227</v>
      </c>
      <c r="I860" s="74">
        <f>I861</f>
        <v>545567.5</v>
      </c>
      <c r="J860" s="74">
        <f>J861</f>
        <v>545567.5</v>
      </c>
      <c r="K860" s="271">
        <f t="shared" si="154"/>
        <v>0</v>
      </c>
      <c r="L860" s="74">
        <f>L861</f>
        <v>524370.8</v>
      </c>
      <c r="M860" s="74">
        <f>M861</f>
        <v>545345.6</v>
      </c>
    </row>
    <row r="861" spans="1:13" s="276" customFormat="1" ht="30">
      <c r="A861" s="111" t="s">
        <v>688</v>
      </c>
      <c r="B861" s="270" t="s">
        <v>31</v>
      </c>
      <c r="C861" s="100" t="s">
        <v>86</v>
      </c>
      <c r="D861" s="100" t="s">
        <v>223</v>
      </c>
      <c r="E861" s="100" t="s">
        <v>131</v>
      </c>
      <c r="F861" s="99" t="s">
        <v>147</v>
      </c>
      <c r="G861" s="100" t="s">
        <v>226</v>
      </c>
      <c r="H861" s="99" t="s">
        <v>689</v>
      </c>
      <c r="I861" s="74">
        <v>545567.5</v>
      </c>
      <c r="J861" s="74">
        <v>545567.5</v>
      </c>
      <c r="K861" s="271">
        <f t="shared" si="154"/>
        <v>0</v>
      </c>
      <c r="L861" s="74">
        <v>524370.8</v>
      </c>
      <c r="M861" s="74">
        <v>545345.6</v>
      </c>
    </row>
    <row r="862" spans="1:13" s="276" customFormat="1" ht="22.5" customHeight="1" hidden="1">
      <c r="A862" s="111" t="s">
        <v>228</v>
      </c>
      <c r="B862" s="270" t="s">
        <v>31</v>
      </c>
      <c r="C862" s="100" t="s">
        <v>86</v>
      </c>
      <c r="D862" s="100" t="s">
        <v>223</v>
      </c>
      <c r="E862" s="100" t="s">
        <v>131</v>
      </c>
      <c r="F862" s="99" t="s">
        <v>147</v>
      </c>
      <c r="G862" s="100" t="s">
        <v>229</v>
      </c>
      <c r="H862" s="99"/>
      <c r="I862" s="74"/>
      <c r="J862" s="74">
        <f>J863</f>
        <v>0</v>
      </c>
      <c r="K862" s="271">
        <f t="shared" si="154"/>
        <v>0</v>
      </c>
      <c r="L862" s="74">
        <f>L863</f>
        <v>0</v>
      </c>
      <c r="M862" s="74">
        <f>M863</f>
        <v>0</v>
      </c>
    </row>
    <row r="863" spans="1:13" ht="27" customHeight="1" hidden="1">
      <c r="A863" s="111" t="s">
        <v>688</v>
      </c>
      <c r="B863" s="270" t="s">
        <v>31</v>
      </c>
      <c r="C863" s="100" t="s">
        <v>86</v>
      </c>
      <c r="D863" s="100" t="s">
        <v>223</v>
      </c>
      <c r="E863" s="100" t="s">
        <v>131</v>
      </c>
      <c r="F863" s="99" t="s">
        <v>147</v>
      </c>
      <c r="G863" s="100" t="s">
        <v>229</v>
      </c>
      <c r="H863" s="99" t="s">
        <v>689</v>
      </c>
      <c r="I863" s="74"/>
      <c r="J863" s="256"/>
      <c r="K863" s="271">
        <f t="shared" si="154"/>
        <v>0</v>
      </c>
      <c r="L863" s="74"/>
      <c r="M863" s="74"/>
    </row>
    <row r="864" spans="1:13" ht="45.75" customHeight="1" hidden="1">
      <c r="A864" s="111" t="s">
        <v>1127</v>
      </c>
      <c r="B864" s="270" t="s">
        <v>31</v>
      </c>
      <c r="C864" s="100" t="s">
        <v>86</v>
      </c>
      <c r="D864" s="100" t="s">
        <v>223</v>
      </c>
      <c r="E864" s="100" t="s">
        <v>131</v>
      </c>
      <c r="F864" s="99" t="s">
        <v>147</v>
      </c>
      <c r="G864" s="100" t="s">
        <v>1133</v>
      </c>
      <c r="H864" s="99" t="s">
        <v>227</v>
      </c>
      <c r="I864" s="74">
        <f>I865</f>
        <v>0</v>
      </c>
      <c r="J864" s="74">
        <f>J865</f>
        <v>0</v>
      </c>
      <c r="K864" s="271">
        <f t="shared" si="154"/>
        <v>0</v>
      </c>
      <c r="L864" s="74">
        <f>L865</f>
        <v>0</v>
      </c>
      <c r="M864" s="74">
        <f>M865</f>
        <v>0</v>
      </c>
    </row>
    <row r="865" spans="1:13" ht="33.75" customHeight="1" hidden="1">
      <c r="A865" s="111" t="s">
        <v>688</v>
      </c>
      <c r="B865" s="270" t="s">
        <v>31</v>
      </c>
      <c r="C865" s="100" t="s">
        <v>86</v>
      </c>
      <c r="D865" s="100" t="s">
        <v>223</v>
      </c>
      <c r="E865" s="100" t="s">
        <v>131</v>
      </c>
      <c r="F865" s="99" t="s">
        <v>147</v>
      </c>
      <c r="G865" s="100" t="s">
        <v>1133</v>
      </c>
      <c r="H865" s="99" t="s">
        <v>689</v>
      </c>
      <c r="I865" s="74"/>
      <c r="J865" s="131"/>
      <c r="K865" s="271">
        <f t="shared" si="154"/>
        <v>0</v>
      </c>
      <c r="L865" s="74"/>
      <c r="M865" s="74"/>
    </row>
    <row r="866" spans="1:13" s="276" customFormat="1" ht="28.5">
      <c r="A866" s="125" t="s">
        <v>234</v>
      </c>
      <c r="B866" s="266" t="s">
        <v>31</v>
      </c>
      <c r="C866" s="95" t="s">
        <v>86</v>
      </c>
      <c r="D866" s="95" t="s">
        <v>223</v>
      </c>
      <c r="E866" s="95" t="s">
        <v>131</v>
      </c>
      <c r="F866" s="95" t="s">
        <v>160</v>
      </c>
      <c r="G866" s="95" t="s">
        <v>150</v>
      </c>
      <c r="H866" s="94"/>
      <c r="I866" s="36">
        <f>I867+I869+I871+I875+I877+I873+I881+I879</f>
        <v>63458.8</v>
      </c>
      <c r="J866" s="36">
        <f>J867+J869+J871+J875+J877+J873+J881+J879</f>
        <v>64256.2</v>
      </c>
      <c r="K866" s="267">
        <f t="shared" si="154"/>
        <v>797.3999999999942</v>
      </c>
      <c r="L866" s="36">
        <f>L867+L869+L871+L875+L877+L873+L881+L879</f>
        <v>21521.75</v>
      </c>
      <c r="M866" s="36">
        <f>M867+M869+M871+M875+M877+M873+M881+M879</f>
        <v>5093.8</v>
      </c>
    </row>
    <row r="867" spans="1:13" s="276" customFormat="1" ht="15">
      <c r="A867" s="115" t="s">
        <v>235</v>
      </c>
      <c r="B867" s="270" t="s">
        <v>31</v>
      </c>
      <c r="C867" s="100" t="s">
        <v>86</v>
      </c>
      <c r="D867" s="100" t="s">
        <v>223</v>
      </c>
      <c r="E867" s="100" t="s">
        <v>131</v>
      </c>
      <c r="F867" s="100" t="s">
        <v>160</v>
      </c>
      <c r="G867" s="100" t="s">
        <v>202</v>
      </c>
      <c r="H867" s="117"/>
      <c r="I867" s="74">
        <f>I868</f>
        <v>5256.1</v>
      </c>
      <c r="J867" s="74">
        <f>J868</f>
        <v>5263.3</v>
      </c>
      <c r="K867" s="271">
        <f>J867-I867</f>
        <v>7.199999999999818</v>
      </c>
      <c r="L867" s="74">
        <f>L868</f>
        <v>2309.3</v>
      </c>
      <c r="M867" s="74">
        <f>M868</f>
        <v>2300</v>
      </c>
    </row>
    <row r="868" spans="1:13" s="276" customFormat="1" ht="30">
      <c r="A868" s="111" t="s">
        <v>688</v>
      </c>
      <c r="B868" s="270" t="s">
        <v>31</v>
      </c>
      <c r="C868" s="100" t="s">
        <v>86</v>
      </c>
      <c r="D868" s="100" t="s">
        <v>223</v>
      </c>
      <c r="E868" s="100" t="s">
        <v>131</v>
      </c>
      <c r="F868" s="100" t="s">
        <v>160</v>
      </c>
      <c r="G868" s="100" t="s">
        <v>202</v>
      </c>
      <c r="H868" s="117">
        <v>600</v>
      </c>
      <c r="I868" s="74">
        <f>2600-1600+6281.7-1877.6+350-498</f>
        <v>5256.1</v>
      </c>
      <c r="J868" s="74">
        <f>2600-1600+6281.7-1877.6+350-498+7.2</f>
        <v>5263.3</v>
      </c>
      <c r="K868" s="271">
        <f aca="true" t="shared" si="155" ref="K868:K882">J868-I868</f>
        <v>7.199999999999818</v>
      </c>
      <c r="L868" s="74">
        <v>2309.3</v>
      </c>
      <c r="M868" s="74">
        <v>2300</v>
      </c>
    </row>
    <row r="869" spans="1:13" s="276" customFormat="1" ht="30">
      <c r="A869" s="111" t="s">
        <v>236</v>
      </c>
      <c r="B869" s="270" t="s">
        <v>31</v>
      </c>
      <c r="C869" s="100" t="s">
        <v>86</v>
      </c>
      <c r="D869" s="100" t="s">
        <v>223</v>
      </c>
      <c r="E869" s="100" t="s">
        <v>131</v>
      </c>
      <c r="F869" s="100" t="s">
        <v>160</v>
      </c>
      <c r="G869" s="100" t="s">
        <v>237</v>
      </c>
      <c r="H869" s="99"/>
      <c r="I869" s="74">
        <f>I870</f>
        <v>2129.5</v>
      </c>
      <c r="J869" s="74">
        <f>J870</f>
        <v>2919.7</v>
      </c>
      <c r="K869" s="271">
        <f t="shared" si="155"/>
        <v>790.1999999999998</v>
      </c>
      <c r="L869" s="74">
        <f>L870</f>
        <v>235.10000000000002</v>
      </c>
      <c r="M869" s="74">
        <f>M870</f>
        <v>33</v>
      </c>
    </row>
    <row r="870" spans="1:13" s="276" customFormat="1" ht="30">
      <c r="A870" s="109" t="s">
        <v>688</v>
      </c>
      <c r="B870" s="270" t="s">
        <v>31</v>
      </c>
      <c r="C870" s="100" t="s">
        <v>86</v>
      </c>
      <c r="D870" s="100" t="s">
        <v>223</v>
      </c>
      <c r="E870" s="100" t="s">
        <v>131</v>
      </c>
      <c r="F870" s="100" t="s">
        <v>160</v>
      </c>
      <c r="G870" s="100" t="s">
        <v>237</v>
      </c>
      <c r="H870" s="99" t="s">
        <v>689</v>
      </c>
      <c r="I870" s="74">
        <f>346.8+0.1+0.1+1782.5</f>
        <v>2129.5</v>
      </c>
      <c r="J870" s="74">
        <f>346.8+0.1+0.1+1782.5+770.1+20.1</f>
        <v>2919.7</v>
      </c>
      <c r="K870" s="271">
        <f t="shared" si="155"/>
        <v>790.1999999999998</v>
      </c>
      <c r="L870" s="74">
        <f>1000-22.9-742</f>
        <v>235.10000000000002</v>
      </c>
      <c r="M870" s="74">
        <f>530-497</f>
        <v>33</v>
      </c>
    </row>
    <row r="871" spans="1:13" s="276" customFormat="1" ht="15">
      <c r="A871" s="102" t="s">
        <v>925</v>
      </c>
      <c r="B871" s="270" t="s">
        <v>31</v>
      </c>
      <c r="C871" s="100" t="s">
        <v>86</v>
      </c>
      <c r="D871" s="100" t="s">
        <v>223</v>
      </c>
      <c r="E871" s="100" t="s">
        <v>131</v>
      </c>
      <c r="F871" s="100" t="s">
        <v>160</v>
      </c>
      <c r="G871" s="100" t="s">
        <v>238</v>
      </c>
      <c r="H871" s="99"/>
      <c r="I871" s="74">
        <f>I872</f>
        <v>2714</v>
      </c>
      <c r="J871" s="74">
        <f>J872</f>
        <v>2714</v>
      </c>
      <c r="K871" s="271">
        <f t="shared" si="155"/>
        <v>0</v>
      </c>
      <c r="L871" s="74">
        <f>L872</f>
        <v>619.1</v>
      </c>
      <c r="M871" s="74">
        <f>M872</f>
        <v>643.2</v>
      </c>
    </row>
    <row r="872" spans="1:13" s="276" customFormat="1" ht="30">
      <c r="A872" s="109" t="s">
        <v>688</v>
      </c>
      <c r="B872" s="270" t="s">
        <v>31</v>
      </c>
      <c r="C872" s="100" t="s">
        <v>86</v>
      </c>
      <c r="D872" s="100" t="s">
        <v>223</v>
      </c>
      <c r="E872" s="100" t="s">
        <v>131</v>
      </c>
      <c r="F872" s="100" t="s">
        <v>160</v>
      </c>
      <c r="G872" s="100" t="s">
        <v>238</v>
      </c>
      <c r="H872" s="99" t="s">
        <v>689</v>
      </c>
      <c r="I872" s="74">
        <f>588.2+1510.2+299.4+316.2</f>
        <v>2714</v>
      </c>
      <c r="J872" s="74">
        <f>588.2+1510.2+299.4+316.2</f>
        <v>2714</v>
      </c>
      <c r="K872" s="271">
        <f t="shared" si="155"/>
        <v>0</v>
      </c>
      <c r="L872" s="74">
        <f>1478.2-859.1</f>
        <v>619.1</v>
      </c>
      <c r="M872" s="74">
        <v>643.2</v>
      </c>
    </row>
    <row r="873" spans="1:13" s="276" customFormat="1" ht="30" hidden="1">
      <c r="A873" s="109" t="s">
        <v>743</v>
      </c>
      <c r="B873" s="270" t="s">
        <v>31</v>
      </c>
      <c r="C873" s="100" t="s">
        <v>86</v>
      </c>
      <c r="D873" s="100" t="s">
        <v>223</v>
      </c>
      <c r="E873" s="100" t="s">
        <v>131</v>
      </c>
      <c r="F873" s="100" t="s">
        <v>160</v>
      </c>
      <c r="G873" s="100" t="s">
        <v>742</v>
      </c>
      <c r="H873" s="99"/>
      <c r="I873" s="74"/>
      <c r="J873" s="74">
        <f>J874</f>
        <v>0</v>
      </c>
      <c r="K873" s="271">
        <f t="shared" si="155"/>
        <v>0</v>
      </c>
      <c r="L873" s="74">
        <f>L874</f>
        <v>0</v>
      </c>
      <c r="M873" s="74">
        <f>M874</f>
        <v>0</v>
      </c>
    </row>
    <row r="874" spans="1:13" s="276" customFormat="1" ht="30" hidden="1">
      <c r="A874" s="109" t="s">
        <v>688</v>
      </c>
      <c r="B874" s="270" t="s">
        <v>31</v>
      </c>
      <c r="C874" s="100" t="s">
        <v>86</v>
      </c>
      <c r="D874" s="100" t="s">
        <v>223</v>
      </c>
      <c r="E874" s="100" t="s">
        <v>131</v>
      </c>
      <c r="F874" s="100" t="s">
        <v>160</v>
      </c>
      <c r="G874" s="100" t="s">
        <v>742</v>
      </c>
      <c r="H874" s="99" t="s">
        <v>689</v>
      </c>
      <c r="I874" s="74"/>
      <c r="J874" s="74"/>
      <c r="K874" s="271">
        <f t="shared" si="155"/>
        <v>0</v>
      </c>
      <c r="L874" s="74"/>
      <c r="M874" s="74"/>
    </row>
    <row r="875" spans="1:13" s="276" customFormat="1" ht="30">
      <c r="A875" s="111" t="s">
        <v>231</v>
      </c>
      <c r="B875" s="270" t="s">
        <v>31</v>
      </c>
      <c r="C875" s="100" t="s">
        <v>86</v>
      </c>
      <c r="D875" s="100" t="s">
        <v>223</v>
      </c>
      <c r="E875" s="100" t="s">
        <v>131</v>
      </c>
      <c r="F875" s="100" t="s">
        <v>160</v>
      </c>
      <c r="G875" s="100" t="s">
        <v>869</v>
      </c>
      <c r="H875" s="99"/>
      <c r="I875" s="74">
        <f>I876</f>
        <v>2117.6000000000004</v>
      </c>
      <c r="J875" s="74">
        <f>J876</f>
        <v>2117.6000000000004</v>
      </c>
      <c r="K875" s="271">
        <f t="shared" si="155"/>
        <v>0</v>
      </c>
      <c r="L875" s="74">
        <f>L876</f>
        <v>2347.6</v>
      </c>
      <c r="M875" s="74">
        <f>M876</f>
        <v>2117.6000000000004</v>
      </c>
    </row>
    <row r="876" spans="1:13" s="276" customFormat="1" ht="30">
      <c r="A876" s="111" t="s">
        <v>688</v>
      </c>
      <c r="B876" s="270" t="s">
        <v>31</v>
      </c>
      <c r="C876" s="100" t="s">
        <v>86</v>
      </c>
      <c r="D876" s="100" t="s">
        <v>223</v>
      </c>
      <c r="E876" s="100" t="s">
        <v>131</v>
      </c>
      <c r="F876" s="100" t="s">
        <v>160</v>
      </c>
      <c r="G876" s="100" t="s">
        <v>869</v>
      </c>
      <c r="H876" s="99" t="s">
        <v>689</v>
      </c>
      <c r="I876" s="74">
        <f>211.8+1905.9-211.8+211.7</f>
        <v>2117.6000000000004</v>
      </c>
      <c r="J876" s="74">
        <f>211.8+1905.9-211.8+211.7</f>
        <v>2117.6000000000004</v>
      </c>
      <c r="K876" s="271">
        <f t="shared" si="155"/>
        <v>0</v>
      </c>
      <c r="L876" s="74">
        <f>211.8+2112.9-211.8+211.7+23</f>
        <v>2347.6</v>
      </c>
      <c r="M876" s="74">
        <f>211.8+1905.9-211.8+211.7</f>
        <v>2117.6000000000004</v>
      </c>
    </row>
    <row r="877" spans="1:13" s="268" customFormat="1" ht="30" hidden="1">
      <c r="A877" s="109" t="s">
        <v>729</v>
      </c>
      <c r="B877" s="270">
        <v>119</v>
      </c>
      <c r="C877" s="100" t="s">
        <v>86</v>
      </c>
      <c r="D877" s="100" t="s">
        <v>223</v>
      </c>
      <c r="E877" s="100" t="s">
        <v>131</v>
      </c>
      <c r="F877" s="100" t="s">
        <v>160</v>
      </c>
      <c r="G877" s="100" t="s">
        <v>730</v>
      </c>
      <c r="H877" s="99"/>
      <c r="I877" s="74"/>
      <c r="J877" s="74">
        <f>J878</f>
        <v>0</v>
      </c>
      <c r="K877" s="271">
        <f t="shared" si="155"/>
        <v>0</v>
      </c>
      <c r="L877" s="74">
        <f>L878</f>
        <v>0</v>
      </c>
      <c r="M877" s="74">
        <f>M878</f>
        <v>0</v>
      </c>
    </row>
    <row r="878" spans="1:13" s="268" customFormat="1" ht="30" hidden="1">
      <c r="A878" s="109" t="s">
        <v>688</v>
      </c>
      <c r="B878" s="270">
        <v>119</v>
      </c>
      <c r="C878" s="100" t="s">
        <v>86</v>
      </c>
      <c r="D878" s="100" t="s">
        <v>223</v>
      </c>
      <c r="E878" s="100" t="s">
        <v>131</v>
      </c>
      <c r="F878" s="100" t="s">
        <v>160</v>
      </c>
      <c r="G878" s="100" t="s">
        <v>730</v>
      </c>
      <c r="H878" s="99" t="s">
        <v>689</v>
      </c>
      <c r="I878" s="74"/>
      <c r="J878" s="74"/>
      <c r="K878" s="271">
        <f t="shared" si="155"/>
        <v>0</v>
      </c>
      <c r="L878" s="74"/>
      <c r="M878" s="74"/>
    </row>
    <row r="879" spans="1:13" s="268" customFormat="1" ht="15">
      <c r="A879" s="111" t="s">
        <v>1072</v>
      </c>
      <c r="B879" s="270">
        <v>119</v>
      </c>
      <c r="C879" s="100" t="s">
        <v>86</v>
      </c>
      <c r="D879" s="100" t="s">
        <v>223</v>
      </c>
      <c r="E879" s="100" t="s">
        <v>131</v>
      </c>
      <c r="F879" s="100" t="s">
        <v>160</v>
      </c>
      <c r="G879" s="100" t="s">
        <v>1073</v>
      </c>
      <c r="H879" s="99"/>
      <c r="I879" s="74">
        <f>I880</f>
        <v>48178.4</v>
      </c>
      <c r="J879" s="74">
        <f>J880</f>
        <v>48178.4</v>
      </c>
      <c r="K879" s="271">
        <f t="shared" si="155"/>
        <v>0</v>
      </c>
      <c r="L879" s="74">
        <f>L880</f>
        <v>16010.65</v>
      </c>
      <c r="M879" s="74">
        <f>M880</f>
        <v>0</v>
      </c>
    </row>
    <row r="880" spans="1:13" s="269" customFormat="1" ht="30">
      <c r="A880" s="111" t="s">
        <v>688</v>
      </c>
      <c r="B880" s="270">
        <v>119</v>
      </c>
      <c r="C880" s="100" t="s">
        <v>86</v>
      </c>
      <c r="D880" s="100" t="s">
        <v>223</v>
      </c>
      <c r="E880" s="100" t="s">
        <v>131</v>
      </c>
      <c r="F880" s="100" t="s">
        <v>160</v>
      </c>
      <c r="G880" s="100" t="s">
        <v>1073</v>
      </c>
      <c r="H880" s="99" t="s">
        <v>689</v>
      </c>
      <c r="I880" s="74">
        <f>4818+43360.5-0.1</f>
        <v>48178.4</v>
      </c>
      <c r="J880" s="74">
        <f>4818+43360.5-0.1</f>
        <v>48178.4</v>
      </c>
      <c r="K880" s="271">
        <f t="shared" si="155"/>
        <v>0</v>
      </c>
      <c r="L880" s="74">
        <f>14409.55+1601.1</f>
        <v>16010.65</v>
      </c>
      <c r="M880" s="74"/>
    </row>
    <row r="881" spans="1:13" s="269" customFormat="1" ht="30">
      <c r="A881" s="109" t="s">
        <v>1031</v>
      </c>
      <c r="B881" s="270">
        <v>119</v>
      </c>
      <c r="C881" s="100" t="s">
        <v>86</v>
      </c>
      <c r="D881" s="99" t="s">
        <v>223</v>
      </c>
      <c r="E881" s="99" t="s">
        <v>131</v>
      </c>
      <c r="F881" s="99" t="s">
        <v>160</v>
      </c>
      <c r="G881" s="99" t="s">
        <v>1030</v>
      </c>
      <c r="H881" s="99"/>
      <c r="I881" s="74">
        <f>I882</f>
        <v>3063.2</v>
      </c>
      <c r="J881" s="74">
        <f>J882</f>
        <v>3063.2</v>
      </c>
      <c r="K881" s="271">
        <f t="shared" si="155"/>
        <v>0</v>
      </c>
      <c r="L881" s="74">
        <f>L882</f>
        <v>0</v>
      </c>
      <c r="M881" s="74">
        <f>M882</f>
        <v>0</v>
      </c>
    </row>
    <row r="882" spans="1:13" s="269" customFormat="1" ht="30">
      <c r="A882" s="115" t="s">
        <v>688</v>
      </c>
      <c r="B882" s="270">
        <v>119</v>
      </c>
      <c r="C882" s="100" t="s">
        <v>86</v>
      </c>
      <c r="D882" s="99" t="s">
        <v>223</v>
      </c>
      <c r="E882" s="99" t="s">
        <v>131</v>
      </c>
      <c r="F882" s="99" t="s">
        <v>160</v>
      </c>
      <c r="G882" s="99" t="s">
        <v>1030</v>
      </c>
      <c r="H882" s="99" t="s">
        <v>689</v>
      </c>
      <c r="I882" s="74">
        <f>153.2+2910</f>
        <v>3063.2</v>
      </c>
      <c r="J882" s="74">
        <f>153.2+2910</f>
        <v>3063.2</v>
      </c>
      <c r="K882" s="271">
        <f t="shared" si="155"/>
        <v>0</v>
      </c>
      <c r="L882" s="74"/>
      <c r="M882" s="74"/>
    </row>
    <row r="883" spans="1:13" s="269" customFormat="1" ht="20.25" customHeight="1">
      <c r="A883" s="127" t="s">
        <v>424</v>
      </c>
      <c r="B883" s="266">
        <v>119</v>
      </c>
      <c r="C883" s="95" t="s">
        <v>86</v>
      </c>
      <c r="D883" s="95" t="s">
        <v>425</v>
      </c>
      <c r="E883" s="95" t="s">
        <v>148</v>
      </c>
      <c r="F883" s="95" t="s">
        <v>149</v>
      </c>
      <c r="G883" s="95" t="s">
        <v>150</v>
      </c>
      <c r="H883" s="67"/>
      <c r="I883" s="36">
        <f>I884</f>
        <v>5220.2</v>
      </c>
      <c r="J883" s="36">
        <f>J884</f>
        <v>5220.2</v>
      </c>
      <c r="K883" s="267">
        <f aca="true" t="shared" si="156" ref="K883:K906">J883-I883</f>
        <v>0</v>
      </c>
      <c r="L883" s="36">
        <f>L884</f>
        <v>0</v>
      </c>
      <c r="M883" s="36">
        <f>M884</f>
        <v>0</v>
      </c>
    </row>
    <row r="884" spans="1:13" s="269" customFormat="1" ht="20.25" customHeight="1">
      <c r="A884" s="124" t="s">
        <v>399</v>
      </c>
      <c r="B884" s="266">
        <v>119</v>
      </c>
      <c r="C884" s="95" t="s">
        <v>86</v>
      </c>
      <c r="D884" s="95" t="s">
        <v>425</v>
      </c>
      <c r="E884" s="95" t="s">
        <v>329</v>
      </c>
      <c r="F884" s="95" t="s">
        <v>149</v>
      </c>
      <c r="G884" s="95" t="s">
        <v>150</v>
      </c>
      <c r="H884" s="67"/>
      <c r="I884" s="36">
        <f>I885</f>
        <v>5220.2</v>
      </c>
      <c r="J884" s="36">
        <f>J885</f>
        <v>5220.2</v>
      </c>
      <c r="K884" s="267">
        <f t="shared" si="156"/>
        <v>0</v>
      </c>
      <c r="L884" s="36">
        <f>L885</f>
        <v>0</v>
      </c>
      <c r="M884" s="36">
        <f>M885</f>
        <v>0</v>
      </c>
    </row>
    <row r="885" spans="1:13" s="269" customFormat="1" ht="20.25" customHeight="1">
      <c r="A885" s="125" t="s">
        <v>399</v>
      </c>
      <c r="B885" s="266">
        <v>119</v>
      </c>
      <c r="C885" s="95" t="s">
        <v>86</v>
      </c>
      <c r="D885" s="95" t="s">
        <v>425</v>
      </c>
      <c r="E885" s="95" t="s">
        <v>329</v>
      </c>
      <c r="F885" s="95" t="s">
        <v>147</v>
      </c>
      <c r="G885" s="95" t="s">
        <v>150</v>
      </c>
      <c r="H885" s="67"/>
      <c r="I885" s="36">
        <f>I886+I888+I890</f>
        <v>5220.2</v>
      </c>
      <c r="J885" s="36">
        <f>J886+J888+J890</f>
        <v>5220.2</v>
      </c>
      <c r="K885" s="267">
        <f t="shared" si="156"/>
        <v>0</v>
      </c>
      <c r="L885" s="36">
        <f>L886+L888+L890</f>
        <v>0</v>
      </c>
      <c r="M885" s="36">
        <f>M886+M888+M890</f>
        <v>0</v>
      </c>
    </row>
    <row r="886" spans="1:13" s="269" customFormat="1" ht="26.25" customHeight="1" hidden="1">
      <c r="A886" s="111" t="s">
        <v>236</v>
      </c>
      <c r="B886" s="270">
        <v>119</v>
      </c>
      <c r="C886" s="100" t="s">
        <v>86</v>
      </c>
      <c r="D886" s="100" t="s">
        <v>425</v>
      </c>
      <c r="E886" s="100" t="s">
        <v>329</v>
      </c>
      <c r="F886" s="100" t="s">
        <v>147</v>
      </c>
      <c r="G886" s="100" t="s">
        <v>237</v>
      </c>
      <c r="H886" s="99"/>
      <c r="I886" s="74"/>
      <c r="J886" s="74">
        <f>J887</f>
        <v>0</v>
      </c>
      <c r="K886" s="271">
        <f t="shared" si="156"/>
        <v>0</v>
      </c>
      <c r="L886" s="74">
        <f>L887</f>
        <v>0</v>
      </c>
      <c r="M886" s="74">
        <f>M887</f>
        <v>0</v>
      </c>
    </row>
    <row r="887" spans="1:13" s="269" customFormat="1" ht="21.75" customHeight="1" hidden="1">
      <c r="A887" s="109" t="s">
        <v>688</v>
      </c>
      <c r="B887" s="270">
        <v>119</v>
      </c>
      <c r="C887" s="100" t="s">
        <v>86</v>
      </c>
      <c r="D887" s="100" t="s">
        <v>425</v>
      </c>
      <c r="E887" s="100" t="s">
        <v>329</v>
      </c>
      <c r="F887" s="100" t="s">
        <v>147</v>
      </c>
      <c r="G887" s="100" t="s">
        <v>237</v>
      </c>
      <c r="H887" s="99" t="s">
        <v>689</v>
      </c>
      <c r="I887" s="74"/>
      <c r="J887" s="74"/>
      <c r="K887" s="271">
        <f t="shared" si="156"/>
        <v>0</v>
      </c>
      <c r="L887" s="74"/>
      <c r="M887" s="74"/>
    </row>
    <row r="888" spans="1:13" s="269" customFormat="1" ht="22.5" customHeight="1" hidden="1">
      <c r="A888" s="102" t="s">
        <v>925</v>
      </c>
      <c r="B888" s="270">
        <v>119</v>
      </c>
      <c r="C888" s="100" t="s">
        <v>86</v>
      </c>
      <c r="D888" s="100" t="s">
        <v>425</v>
      </c>
      <c r="E888" s="100" t="s">
        <v>329</v>
      </c>
      <c r="F888" s="100" t="s">
        <v>147</v>
      </c>
      <c r="G888" s="100" t="s">
        <v>238</v>
      </c>
      <c r="H888" s="99"/>
      <c r="I888" s="74"/>
      <c r="J888" s="74">
        <f>J889</f>
        <v>0</v>
      </c>
      <c r="K888" s="271">
        <f t="shared" si="156"/>
        <v>0</v>
      </c>
      <c r="L888" s="74">
        <f>L889</f>
        <v>0</v>
      </c>
      <c r="M888" s="74">
        <f>M889</f>
        <v>0</v>
      </c>
    </row>
    <row r="889" spans="1:13" s="269" customFormat="1" ht="20.25" customHeight="1" hidden="1">
      <c r="A889" s="109" t="s">
        <v>688</v>
      </c>
      <c r="B889" s="270">
        <v>119</v>
      </c>
      <c r="C889" s="100" t="s">
        <v>86</v>
      </c>
      <c r="D889" s="100" t="s">
        <v>425</v>
      </c>
      <c r="E889" s="100" t="s">
        <v>329</v>
      </c>
      <c r="F889" s="100" t="s">
        <v>147</v>
      </c>
      <c r="G889" s="100" t="s">
        <v>238</v>
      </c>
      <c r="H889" s="99" t="s">
        <v>689</v>
      </c>
      <c r="I889" s="74"/>
      <c r="J889" s="74"/>
      <c r="K889" s="271">
        <f t="shared" si="156"/>
        <v>0</v>
      </c>
      <c r="L889" s="74"/>
      <c r="M889" s="74"/>
    </row>
    <row r="890" spans="1:13" s="269" customFormat="1" ht="33.75" customHeight="1">
      <c r="A890" s="109" t="s">
        <v>1095</v>
      </c>
      <c r="B890" s="270">
        <v>119</v>
      </c>
      <c r="C890" s="100" t="s">
        <v>86</v>
      </c>
      <c r="D890" s="100" t="s">
        <v>425</v>
      </c>
      <c r="E890" s="100" t="s">
        <v>329</v>
      </c>
      <c r="F890" s="100" t="s">
        <v>147</v>
      </c>
      <c r="G890" s="100" t="s">
        <v>1094</v>
      </c>
      <c r="H890" s="99"/>
      <c r="I890" s="74">
        <f>I891</f>
        <v>5220.2</v>
      </c>
      <c r="J890" s="74">
        <f>J891</f>
        <v>5220.2</v>
      </c>
      <c r="K890" s="271">
        <f t="shared" si="156"/>
        <v>0</v>
      </c>
      <c r="L890" s="74">
        <f>L891</f>
        <v>0</v>
      </c>
      <c r="M890" s="74">
        <f>M891</f>
        <v>0</v>
      </c>
    </row>
    <row r="891" spans="1:13" s="269" customFormat="1" ht="33.75" customHeight="1">
      <c r="A891" s="115" t="s">
        <v>688</v>
      </c>
      <c r="B891" s="270">
        <v>119</v>
      </c>
      <c r="C891" s="100" t="s">
        <v>86</v>
      </c>
      <c r="D891" s="100" t="s">
        <v>425</v>
      </c>
      <c r="E891" s="100" t="s">
        <v>329</v>
      </c>
      <c r="F891" s="100" t="s">
        <v>147</v>
      </c>
      <c r="G891" s="100" t="s">
        <v>1094</v>
      </c>
      <c r="H891" s="99" t="s">
        <v>689</v>
      </c>
      <c r="I891" s="74">
        <f>2417.5+2802.7</f>
        <v>5220.2</v>
      </c>
      <c r="J891" s="74">
        <f>2417.5+2802.7</f>
        <v>5220.2</v>
      </c>
      <c r="K891" s="271">
        <f t="shared" si="156"/>
        <v>0</v>
      </c>
      <c r="L891" s="74"/>
      <c r="M891" s="74"/>
    </row>
    <row r="892" spans="1:13" s="269" customFormat="1" ht="15">
      <c r="A892" s="127" t="s">
        <v>87</v>
      </c>
      <c r="B892" s="266" t="s">
        <v>31</v>
      </c>
      <c r="C892" s="95" t="s">
        <v>88</v>
      </c>
      <c r="D892" s="67"/>
      <c r="E892" s="67"/>
      <c r="F892" s="67"/>
      <c r="G892" s="67"/>
      <c r="H892" s="67"/>
      <c r="I892" s="36">
        <f>I898+I951+I893</f>
        <v>1176133.5000000002</v>
      </c>
      <c r="J892" s="36">
        <f>J898+J951+J893</f>
        <v>1191716.2000000002</v>
      </c>
      <c r="K892" s="267">
        <f t="shared" si="156"/>
        <v>15582.699999999953</v>
      </c>
      <c r="L892" s="36">
        <f>L898+L951+L893</f>
        <v>1056209.1</v>
      </c>
      <c r="M892" s="36">
        <f>M898+M951+M893</f>
        <v>1020224.1</v>
      </c>
    </row>
    <row r="893" spans="1:13" s="269" customFormat="1" ht="71.25">
      <c r="A893" s="110" t="s">
        <v>834</v>
      </c>
      <c r="B893" s="266" t="s">
        <v>31</v>
      </c>
      <c r="C893" s="95" t="s">
        <v>88</v>
      </c>
      <c r="D893" s="67" t="s">
        <v>147</v>
      </c>
      <c r="E893" s="67" t="s">
        <v>148</v>
      </c>
      <c r="F893" s="67" t="s">
        <v>149</v>
      </c>
      <c r="G893" s="67" t="s">
        <v>150</v>
      </c>
      <c r="H893" s="67"/>
      <c r="I893" s="36">
        <f aca="true" t="shared" si="157" ref="I893:J896">I894</f>
        <v>14714.7</v>
      </c>
      <c r="J893" s="36">
        <f t="shared" si="157"/>
        <v>14714.7</v>
      </c>
      <c r="K893" s="267">
        <f t="shared" si="156"/>
        <v>0</v>
      </c>
      <c r="L893" s="36">
        <f aca="true" t="shared" si="158" ref="L893:M896">L894</f>
        <v>0</v>
      </c>
      <c r="M893" s="36">
        <f t="shared" si="158"/>
        <v>0</v>
      </c>
    </row>
    <row r="894" spans="1:13" s="269" customFormat="1" ht="38.25" customHeight="1">
      <c r="A894" s="97" t="s">
        <v>151</v>
      </c>
      <c r="B894" s="266" t="s">
        <v>31</v>
      </c>
      <c r="C894" s="95" t="s">
        <v>88</v>
      </c>
      <c r="D894" s="67" t="s">
        <v>147</v>
      </c>
      <c r="E894" s="67" t="s">
        <v>131</v>
      </c>
      <c r="F894" s="67" t="s">
        <v>149</v>
      </c>
      <c r="G894" s="67" t="s">
        <v>150</v>
      </c>
      <c r="H894" s="67"/>
      <c r="I894" s="36">
        <f t="shared" si="157"/>
        <v>14714.7</v>
      </c>
      <c r="J894" s="36">
        <f t="shared" si="157"/>
        <v>14714.7</v>
      </c>
      <c r="K894" s="267">
        <f t="shared" si="156"/>
        <v>0</v>
      </c>
      <c r="L894" s="36">
        <f t="shared" si="158"/>
        <v>0</v>
      </c>
      <c r="M894" s="36">
        <f t="shared" si="158"/>
        <v>0</v>
      </c>
    </row>
    <row r="895" spans="1:13" s="269" customFormat="1" ht="44.25" customHeight="1">
      <c r="A895" s="97" t="s">
        <v>750</v>
      </c>
      <c r="B895" s="266" t="s">
        <v>31</v>
      </c>
      <c r="C895" s="95" t="s">
        <v>88</v>
      </c>
      <c r="D895" s="67" t="s">
        <v>147</v>
      </c>
      <c r="E895" s="67" t="s">
        <v>131</v>
      </c>
      <c r="F895" s="67" t="s">
        <v>147</v>
      </c>
      <c r="G895" s="67" t="s">
        <v>150</v>
      </c>
      <c r="H895" s="67"/>
      <c r="I895" s="36">
        <f t="shared" si="157"/>
        <v>14714.7</v>
      </c>
      <c r="J895" s="36">
        <f t="shared" si="157"/>
        <v>14714.7</v>
      </c>
      <c r="K895" s="267">
        <f t="shared" si="156"/>
        <v>0</v>
      </c>
      <c r="L895" s="36">
        <f t="shared" si="158"/>
        <v>0</v>
      </c>
      <c r="M895" s="36">
        <f t="shared" si="158"/>
        <v>0</v>
      </c>
    </row>
    <row r="896" spans="1:13" s="269" customFormat="1" ht="34.5" customHeight="1">
      <c r="A896" s="109" t="s">
        <v>1098</v>
      </c>
      <c r="B896" s="270" t="s">
        <v>31</v>
      </c>
      <c r="C896" s="100" t="s">
        <v>88</v>
      </c>
      <c r="D896" s="99" t="s">
        <v>147</v>
      </c>
      <c r="E896" s="99" t="s">
        <v>131</v>
      </c>
      <c r="F896" s="99" t="s">
        <v>147</v>
      </c>
      <c r="G896" s="99" t="s">
        <v>1100</v>
      </c>
      <c r="H896" s="99"/>
      <c r="I896" s="74">
        <f t="shared" si="157"/>
        <v>14714.7</v>
      </c>
      <c r="J896" s="74">
        <f t="shared" si="157"/>
        <v>14714.7</v>
      </c>
      <c r="K896" s="271">
        <f t="shared" si="156"/>
        <v>0</v>
      </c>
      <c r="L896" s="74">
        <f t="shared" si="158"/>
        <v>0</v>
      </c>
      <c r="M896" s="74">
        <f t="shared" si="158"/>
        <v>0</v>
      </c>
    </row>
    <row r="897" spans="1:13" s="269" customFormat="1" ht="30">
      <c r="A897" s="111" t="s">
        <v>688</v>
      </c>
      <c r="B897" s="270" t="s">
        <v>31</v>
      </c>
      <c r="C897" s="100" t="s">
        <v>88</v>
      </c>
      <c r="D897" s="99" t="s">
        <v>147</v>
      </c>
      <c r="E897" s="99" t="s">
        <v>131</v>
      </c>
      <c r="F897" s="99" t="s">
        <v>147</v>
      </c>
      <c r="G897" s="99" t="s">
        <v>1100</v>
      </c>
      <c r="H897" s="99" t="s">
        <v>689</v>
      </c>
      <c r="I897" s="74">
        <f>13243.2+1471.5</f>
        <v>14714.7</v>
      </c>
      <c r="J897" s="74">
        <f>13243.2+1471.5</f>
        <v>14714.7</v>
      </c>
      <c r="K897" s="271">
        <f t="shared" si="156"/>
        <v>0</v>
      </c>
      <c r="L897" s="74"/>
      <c r="M897" s="74"/>
    </row>
    <row r="898" spans="1:13" ht="32.25" customHeight="1">
      <c r="A898" s="127" t="s">
        <v>222</v>
      </c>
      <c r="B898" s="266" t="s">
        <v>31</v>
      </c>
      <c r="C898" s="95" t="s">
        <v>88</v>
      </c>
      <c r="D898" s="67" t="s">
        <v>223</v>
      </c>
      <c r="E898" s="67" t="s">
        <v>148</v>
      </c>
      <c r="F898" s="67" t="s">
        <v>149</v>
      </c>
      <c r="G898" s="67" t="s">
        <v>150</v>
      </c>
      <c r="H898" s="67"/>
      <c r="I898" s="36">
        <f>I899</f>
        <v>1161418.8000000003</v>
      </c>
      <c r="J898" s="36">
        <f>J899</f>
        <v>1177001.5000000002</v>
      </c>
      <c r="K898" s="267">
        <f t="shared" si="156"/>
        <v>15582.699999999953</v>
      </c>
      <c r="L898" s="36">
        <f>L899</f>
        <v>1056209.1</v>
      </c>
      <c r="M898" s="36">
        <f>M899</f>
        <v>1020224.1</v>
      </c>
    </row>
    <row r="899" spans="1:13" ht="42.75">
      <c r="A899" s="124" t="s">
        <v>239</v>
      </c>
      <c r="B899" s="266" t="s">
        <v>31</v>
      </c>
      <c r="C899" s="95" t="s">
        <v>88</v>
      </c>
      <c r="D899" s="67" t="s">
        <v>223</v>
      </c>
      <c r="E899" s="67" t="s">
        <v>132</v>
      </c>
      <c r="F899" s="67" t="s">
        <v>149</v>
      </c>
      <c r="G899" s="67" t="s">
        <v>150</v>
      </c>
      <c r="H899" s="67"/>
      <c r="I899" s="36">
        <f>I900+I907+I915+I942+I945+I948</f>
        <v>1161418.8000000003</v>
      </c>
      <c r="J899" s="36">
        <f>J900+J907+J915+J942+J945+J948</f>
        <v>1177001.5000000002</v>
      </c>
      <c r="K899" s="267">
        <f t="shared" si="156"/>
        <v>15582.699999999953</v>
      </c>
      <c r="L899" s="36">
        <f>L900+L907+L915+L942+L945+L948</f>
        <v>1056209.1</v>
      </c>
      <c r="M899" s="36">
        <f>M900+M907+M915+M942+M945+M948</f>
        <v>1020224.1</v>
      </c>
    </row>
    <row r="900" spans="1:13" s="276" customFormat="1" ht="28.5">
      <c r="A900" s="125" t="s">
        <v>240</v>
      </c>
      <c r="B900" s="266" t="s">
        <v>31</v>
      </c>
      <c r="C900" s="95" t="s">
        <v>88</v>
      </c>
      <c r="D900" s="95" t="s">
        <v>223</v>
      </c>
      <c r="E900" s="95" t="s">
        <v>132</v>
      </c>
      <c r="F900" s="95" t="s">
        <v>147</v>
      </c>
      <c r="G900" s="95" t="s">
        <v>150</v>
      </c>
      <c r="H900" s="67"/>
      <c r="I900" s="36">
        <f>I901+I905+I903</f>
        <v>710841.0000000001</v>
      </c>
      <c r="J900" s="36">
        <f>J901+J905+J903</f>
        <v>714237.4</v>
      </c>
      <c r="K900" s="267">
        <f t="shared" si="156"/>
        <v>3396.399999999907</v>
      </c>
      <c r="L900" s="36">
        <f>L901+L905+L903</f>
        <v>711769.1000000001</v>
      </c>
      <c r="M900" s="36">
        <f>M901+M905+M903</f>
        <v>738969</v>
      </c>
    </row>
    <row r="901" spans="1:13" ht="30">
      <c r="A901" s="111" t="s">
        <v>486</v>
      </c>
      <c r="B901" s="270" t="s">
        <v>31</v>
      </c>
      <c r="C901" s="100" t="s">
        <v>88</v>
      </c>
      <c r="D901" s="100" t="s">
        <v>223</v>
      </c>
      <c r="E901" s="100" t="s">
        <v>132</v>
      </c>
      <c r="F901" s="100" t="s">
        <v>147</v>
      </c>
      <c r="G901" s="100" t="s">
        <v>194</v>
      </c>
      <c r="H901" s="99"/>
      <c r="I901" s="74">
        <f>I902</f>
        <v>110794.3</v>
      </c>
      <c r="J901" s="74">
        <f>J902</f>
        <v>114190.7</v>
      </c>
      <c r="K901" s="271">
        <f t="shared" si="156"/>
        <v>3396.399999999994</v>
      </c>
      <c r="L901" s="74">
        <f>L902</f>
        <v>95863.4</v>
      </c>
      <c r="M901" s="74">
        <f>M902</f>
        <v>99528</v>
      </c>
    </row>
    <row r="902" spans="1:13" ht="30">
      <c r="A902" s="111" t="s">
        <v>688</v>
      </c>
      <c r="B902" s="270" t="s">
        <v>31</v>
      </c>
      <c r="C902" s="100" t="s">
        <v>88</v>
      </c>
      <c r="D902" s="100" t="s">
        <v>223</v>
      </c>
      <c r="E902" s="100" t="s">
        <v>132</v>
      </c>
      <c r="F902" s="100" t="s">
        <v>147</v>
      </c>
      <c r="G902" s="100" t="s">
        <v>194</v>
      </c>
      <c r="H902" s="99" t="s">
        <v>689</v>
      </c>
      <c r="I902" s="74">
        <f>95234.5+3926.8+1700+167.3+6500+265.7+3000</f>
        <v>110794.3</v>
      </c>
      <c r="J902" s="74">
        <f>95234.5+3926.8+1700+167.3+6500+265.7+3000+3396.4</f>
        <v>114190.7</v>
      </c>
      <c r="K902" s="271">
        <f t="shared" si="156"/>
        <v>3396.399999999994</v>
      </c>
      <c r="L902" s="74">
        <v>95863.4</v>
      </c>
      <c r="M902" s="74">
        <v>99528</v>
      </c>
    </row>
    <row r="903" spans="1:13" ht="45">
      <c r="A903" s="111" t="s">
        <v>1119</v>
      </c>
      <c r="B903" s="270" t="s">
        <v>31</v>
      </c>
      <c r="C903" s="100" t="s">
        <v>88</v>
      </c>
      <c r="D903" s="100" t="s">
        <v>223</v>
      </c>
      <c r="E903" s="100" t="s">
        <v>132</v>
      </c>
      <c r="F903" s="100" t="s">
        <v>147</v>
      </c>
      <c r="G903" s="100" t="s">
        <v>1120</v>
      </c>
      <c r="H903" s="99"/>
      <c r="I903" s="74">
        <f>I904</f>
        <v>9174.4</v>
      </c>
      <c r="J903" s="74">
        <f>J904</f>
        <v>9174.4</v>
      </c>
      <c r="K903" s="271">
        <f t="shared" si="156"/>
        <v>0</v>
      </c>
      <c r="L903" s="74">
        <f>L904</f>
        <v>27523.3</v>
      </c>
      <c r="M903" s="74">
        <f>M904</f>
        <v>27523.3</v>
      </c>
    </row>
    <row r="904" spans="1:13" ht="30">
      <c r="A904" s="111" t="s">
        <v>688</v>
      </c>
      <c r="B904" s="270" t="s">
        <v>31</v>
      </c>
      <c r="C904" s="100" t="s">
        <v>88</v>
      </c>
      <c r="D904" s="100" t="s">
        <v>223</v>
      </c>
      <c r="E904" s="100" t="s">
        <v>132</v>
      </c>
      <c r="F904" s="100" t="s">
        <v>147</v>
      </c>
      <c r="G904" s="100" t="s">
        <v>1120</v>
      </c>
      <c r="H904" s="99" t="s">
        <v>689</v>
      </c>
      <c r="I904" s="74">
        <v>9174.4</v>
      </c>
      <c r="J904" s="74">
        <v>9174.4</v>
      </c>
      <c r="K904" s="271">
        <f t="shared" si="156"/>
        <v>0</v>
      </c>
      <c r="L904" s="74">
        <v>27523.3</v>
      </c>
      <c r="M904" s="74">
        <v>27523.3</v>
      </c>
    </row>
    <row r="905" spans="1:13" ht="120">
      <c r="A905" s="111" t="s">
        <v>495</v>
      </c>
      <c r="B905" s="270" t="s">
        <v>31</v>
      </c>
      <c r="C905" s="100" t="s">
        <v>88</v>
      </c>
      <c r="D905" s="100" t="s">
        <v>223</v>
      </c>
      <c r="E905" s="100" t="s">
        <v>132</v>
      </c>
      <c r="F905" s="100" t="s">
        <v>147</v>
      </c>
      <c r="G905" s="100" t="s">
        <v>242</v>
      </c>
      <c r="H905" s="99"/>
      <c r="I905" s="74">
        <f>I906</f>
        <v>590872.3</v>
      </c>
      <c r="J905" s="74">
        <f>J906</f>
        <v>590872.3</v>
      </c>
      <c r="K905" s="271">
        <f t="shared" si="156"/>
        <v>0</v>
      </c>
      <c r="L905" s="74">
        <f>L906</f>
        <v>588382.4</v>
      </c>
      <c r="M905" s="74">
        <f>M906</f>
        <v>611917.7</v>
      </c>
    </row>
    <row r="906" spans="1:13" ht="30">
      <c r="A906" s="111" t="s">
        <v>688</v>
      </c>
      <c r="B906" s="270" t="s">
        <v>31</v>
      </c>
      <c r="C906" s="100" t="s">
        <v>88</v>
      </c>
      <c r="D906" s="100" t="s">
        <v>223</v>
      </c>
      <c r="E906" s="100" t="s">
        <v>132</v>
      </c>
      <c r="F906" s="100" t="s">
        <v>147</v>
      </c>
      <c r="G906" s="100" t="s">
        <v>242</v>
      </c>
      <c r="H906" s="99" t="s">
        <v>689</v>
      </c>
      <c r="I906" s="74">
        <v>590872.3</v>
      </c>
      <c r="J906" s="74">
        <v>590872.3</v>
      </c>
      <c r="K906" s="271">
        <f t="shared" si="156"/>
        <v>0</v>
      </c>
      <c r="L906" s="74">
        <v>588382.4</v>
      </c>
      <c r="M906" s="74">
        <v>611917.7</v>
      </c>
    </row>
    <row r="907" spans="1:13" s="276" customFormat="1" ht="21" customHeight="1">
      <c r="A907" s="125" t="s">
        <v>243</v>
      </c>
      <c r="B907" s="266" t="s">
        <v>31</v>
      </c>
      <c r="C907" s="95" t="s">
        <v>88</v>
      </c>
      <c r="D907" s="95" t="s">
        <v>223</v>
      </c>
      <c r="E907" s="95" t="s">
        <v>132</v>
      </c>
      <c r="F907" s="95" t="s">
        <v>160</v>
      </c>
      <c r="G907" s="95" t="s">
        <v>150</v>
      </c>
      <c r="H907" s="67"/>
      <c r="I907" s="36">
        <f>I908+I910+I913</f>
        <v>2323.8</v>
      </c>
      <c r="J907" s="36">
        <f>J908+J910+J913</f>
        <v>2323.8</v>
      </c>
      <c r="K907" s="267">
        <f>J907-I907</f>
        <v>0</v>
      </c>
      <c r="L907" s="36">
        <f>L908+L910+L913</f>
        <v>618.4</v>
      </c>
      <c r="M907" s="36">
        <f>M908+M910+M913</f>
        <v>707.8</v>
      </c>
    </row>
    <row r="908" spans="1:13" ht="30">
      <c r="A908" s="289" t="s">
        <v>244</v>
      </c>
      <c r="B908" s="270" t="s">
        <v>31</v>
      </c>
      <c r="C908" s="100" t="s">
        <v>88</v>
      </c>
      <c r="D908" s="100" t="s">
        <v>223</v>
      </c>
      <c r="E908" s="100" t="s">
        <v>132</v>
      </c>
      <c r="F908" s="100" t="s">
        <v>160</v>
      </c>
      <c r="G908" s="100" t="s">
        <v>245</v>
      </c>
      <c r="H908" s="99"/>
      <c r="I908" s="74">
        <f>I909</f>
        <v>150</v>
      </c>
      <c r="J908" s="74">
        <f>J909</f>
        <v>150</v>
      </c>
      <c r="K908" s="271">
        <f aca="true" t="shared" si="159" ref="K908:K915">J908-I908</f>
        <v>0</v>
      </c>
      <c r="L908" s="74">
        <f>L909</f>
        <v>0</v>
      </c>
      <c r="M908" s="74">
        <f>M909</f>
        <v>0</v>
      </c>
    </row>
    <row r="909" spans="1:13" ht="30">
      <c r="A909" s="109" t="s">
        <v>688</v>
      </c>
      <c r="B909" s="270" t="s">
        <v>31</v>
      </c>
      <c r="C909" s="100" t="s">
        <v>88</v>
      </c>
      <c r="D909" s="100" t="s">
        <v>223</v>
      </c>
      <c r="E909" s="100" t="s">
        <v>132</v>
      </c>
      <c r="F909" s="100" t="s">
        <v>160</v>
      </c>
      <c r="G909" s="100" t="s">
        <v>245</v>
      </c>
      <c r="H909" s="99" t="s">
        <v>689</v>
      </c>
      <c r="I909" s="74">
        <v>150</v>
      </c>
      <c r="J909" s="74">
        <v>150</v>
      </c>
      <c r="K909" s="271">
        <f t="shared" si="159"/>
        <v>0</v>
      </c>
      <c r="L909" s="74"/>
      <c r="M909" s="74"/>
    </row>
    <row r="910" spans="1:13" ht="15">
      <c r="A910" s="289" t="s">
        <v>246</v>
      </c>
      <c r="B910" s="270" t="s">
        <v>31</v>
      </c>
      <c r="C910" s="100" t="s">
        <v>88</v>
      </c>
      <c r="D910" s="100" t="s">
        <v>223</v>
      </c>
      <c r="E910" s="100" t="s">
        <v>132</v>
      </c>
      <c r="F910" s="100" t="s">
        <v>160</v>
      </c>
      <c r="G910" s="100" t="s">
        <v>247</v>
      </c>
      <c r="H910" s="99"/>
      <c r="I910" s="74">
        <f>I911+I912</f>
        <v>1358.2</v>
      </c>
      <c r="J910" s="74">
        <f>J911+J912</f>
        <v>1358.2</v>
      </c>
      <c r="K910" s="271">
        <f t="shared" si="159"/>
        <v>0</v>
      </c>
      <c r="L910" s="74">
        <f>L911+L912</f>
        <v>0</v>
      </c>
      <c r="M910" s="74">
        <f>M911+M912</f>
        <v>89.4</v>
      </c>
    </row>
    <row r="911" spans="1:13" ht="30">
      <c r="A911" s="109" t="s">
        <v>683</v>
      </c>
      <c r="B911" s="270" t="s">
        <v>31</v>
      </c>
      <c r="C911" s="100" t="s">
        <v>88</v>
      </c>
      <c r="D911" s="100" t="s">
        <v>223</v>
      </c>
      <c r="E911" s="100" t="s">
        <v>132</v>
      </c>
      <c r="F911" s="100" t="s">
        <v>160</v>
      </c>
      <c r="G911" s="100" t="s">
        <v>247</v>
      </c>
      <c r="H911" s="99" t="s">
        <v>682</v>
      </c>
      <c r="I911" s="74">
        <f>100-100</f>
        <v>0</v>
      </c>
      <c r="J911" s="74">
        <f>100-100</f>
        <v>0</v>
      </c>
      <c r="K911" s="271">
        <f t="shared" si="159"/>
        <v>0</v>
      </c>
      <c r="L911" s="74"/>
      <c r="M911" s="74">
        <v>89.4</v>
      </c>
    </row>
    <row r="912" spans="1:13" ht="30">
      <c r="A912" s="109" t="s">
        <v>688</v>
      </c>
      <c r="B912" s="270" t="s">
        <v>31</v>
      </c>
      <c r="C912" s="100" t="s">
        <v>88</v>
      </c>
      <c r="D912" s="100" t="s">
        <v>223</v>
      </c>
      <c r="E912" s="100" t="s">
        <v>132</v>
      </c>
      <c r="F912" s="100" t="s">
        <v>160</v>
      </c>
      <c r="G912" s="100" t="s">
        <v>247</v>
      </c>
      <c r="H912" s="130">
        <v>600</v>
      </c>
      <c r="I912" s="119">
        <f>900+358.2+100</f>
        <v>1358.2</v>
      </c>
      <c r="J912" s="119">
        <f>900+358.2+100</f>
        <v>1358.2</v>
      </c>
      <c r="K912" s="271">
        <f t="shared" si="159"/>
        <v>0</v>
      </c>
      <c r="L912" s="256"/>
      <c r="M912" s="256"/>
    </row>
    <row r="913" spans="1:13" ht="30">
      <c r="A913" s="109" t="s">
        <v>962</v>
      </c>
      <c r="B913" s="270" t="s">
        <v>31</v>
      </c>
      <c r="C913" s="100" t="s">
        <v>88</v>
      </c>
      <c r="D913" s="100" t="s">
        <v>223</v>
      </c>
      <c r="E913" s="100" t="s">
        <v>132</v>
      </c>
      <c r="F913" s="100" t="s">
        <v>160</v>
      </c>
      <c r="G913" s="100" t="s">
        <v>961</v>
      </c>
      <c r="H913" s="99"/>
      <c r="I913" s="119">
        <f>I914</f>
        <v>815.6</v>
      </c>
      <c r="J913" s="119">
        <f>J914</f>
        <v>815.6</v>
      </c>
      <c r="K913" s="271">
        <f t="shared" si="159"/>
        <v>0</v>
      </c>
      <c r="L913" s="119">
        <f>L914</f>
        <v>618.4</v>
      </c>
      <c r="M913" s="119">
        <f>M914</f>
        <v>618.4</v>
      </c>
    </row>
    <row r="914" spans="1:13" ht="30">
      <c r="A914" s="109" t="s">
        <v>688</v>
      </c>
      <c r="B914" s="270" t="s">
        <v>31</v>
      </c>
      <c r="C914" s="100" t="s">
        <v>88</v>
      </c>
      <c r="D914" s="100" t="s">
        <v>223</v>
      </c>
      <c r="E914" s="100" t="s">
        <v>132</v>
      </c>
      <c r="F914" s="100" t="s">
        <v>160</v>
      </c>
      <c r="G914" s="100" t="s">
        <v>961</v>
      </c>
      <c r="H914" s="99" t="s">
        <v>689</v>
      </c>
      <c r="I914" s="119">
        <f>81.8+734-81.8+81.6</f>
        <v>815.6</v>
      </c>
      <c r="J914" s="119">
        <f>81.8+734-81.8+81.6</f>
        <v>815.6</v>
      </c>
      <c r="K914" s="271">
        <f t="shared" si="159"/>
        <v>0</v>
      </c>
      <c r="L914" s="119">
        <f>46.1+556.6-46.1+61.8</f>
        <v>618.4</v>
      </c>
      <c r="M914" s="119">
        <f>60+1.7+556.6-61.7+61.8</f>
        <v>618.4</v>
      </c>
    </row>
    <row r="915" spans="1:13" s="276" customFormat="1" ht="28.5">
      <c r="A915" s="127" t="s">
        <v>253</v>
      </c>
      <c r="B915" s="266">
        <v>119</v>
      </c>
      <c r="C915" s="95" t="s">
        <v>88</v>
      </c>
      <c r="D915" s="95" t="s">
        <v>223</v>
      </c>
      <c r="E915" s="95" t="s">
        <v>132</v>
      </c>
      <c r="F915" s="95" t="s">
        <v>174</v>
      </c>
      <c r="G915" s="95" t="s">
        <v>150</v>
      </c>
      <c r="H915" s="137"/>
      <c r="I915" s="84">
        <f>I916+I918+I920+I922+I924+I926+I928+I932+I930+I934+I936+I938+I940</f>
        <v>436842.60000000003</v>
      </c>
      <c r="J915" s="84">
        <f>J916+J918+J920+J922+J924+J926+J928+J932+J930+J934+J936+J938+J940</f>
        <v>449287.89999999997</v>
      </c>
      <c r="K915" s="267">
        <f t="shared" si="159"/>
        <v>12445.29999999993</v>
      </c>
      <c r="L915" s="84">
        <f>L916+L918+L920+L922+L924+L926+L928+L932+L930+L934+L936+L938+L940</f>
        <v>343821.6</v>
      </c>
      <c r="M915" s="84">
        <f>M916+M918+M920+M922+M924+M926+M928+M932+M930+M934+M936+M938+M940</f>
        <v>279420.9</v>
      </c>
    </row>
    <row r="916" spans="1:13" ht="30">
      <c r="A916" s="109" t="s">
        <v>248</v>
      </c>
      <c r="B916" s="270" t="s">
        <v>31</v>
      </c>
      <c r="C916" s="100" t="s">
        <v>88</v>
      </c>
      <c r="D916" s="100" t="s">
        <v>223</v>
      </c>
      <c r="E916" s="100" t="s">
        <v>132</v>
      </c>
      <c r="F916" s="100" t="s">
        <v>174</v>
      </c>
      <c r="G916" s="100" t="s">
        <v>870</v>
      </c>
      <c r="H916" s="99"/>
      <c r="I916" s="74">
        <f>I917</f>
        <v>12785.3</v>
      </c>
      <c r="J916" s="74">
        <f>J917</f>
        <v>12785.3</v>
      </c>
      <c r="K916" s="271">
        <f>J916-I916</f>
        <v>0</v>
      </c>
      <c r="L916" s="74">
        <f>L917</f>
        <v>10539.3</v>
      </c>
      <c r="M916" s="74">
        <f>M917</f>
        <v>10539.4</v>
      </c>
    </row>
    <row r="917" spans="1:13" ht="30">
      <c r="A917" s="109" t="s">
        <v>688</v>
      </c>
      <c r="B917" s="270" t="s">
        <v>31</v>
      </c>
      <c r="C917" s="100" t="s">
        <v>88</v>
      </c>
      <c r="D917" s="100" t="s">
        <v>223</v>
      </c>
      <c r="E917" s="100" t="s">
        <v>132</v>
      </c>
      <c r="F917" s="100" t="s">
        <v>174</v>
      </c>
      <c r="G917" s="100" t="s">
        <v>870</v>
      </c>
      <c r="H917" s="99" t="s">
        <v>689</v>
      </c>
      <c r="I917" s="74">
        <f>2573.9+1788.8-1788.8-1300+11465.4+46</f>
        <v>12785.3</v>
      </c>
      <c r="J917" s="74">
        <f>2573.9+1788.8-1788.8-1300+11465.4+46</f>
        <v>12785.3</v>
      </c>
      <c r="K917" s="271">
        <f aca="true" t="shared" si="160" ref="K917:K941">J917-I917</f>
        <v>0</v>
      </c>
      <c r="L917" s="74">
        <f>3653.9+9485.4-3653.9+1053.9</f>
        <v>10539.3</v>
      </c>
      <c r="M917" s="74">
        <f>3653.9+9485.4-3653.9+1053.9+60.1-60</f>
        <v>10539.4</v>
      </c>
    </row>
    <row r="918" spans="1:13" ht="30" hidden="1">
      <c r="A918" s="109" t="s">
        <v>729</v>
      </c>
      <c r="B918" s="270" t="s">
        <v>31</v>
      </c>
      <c r="C918" s="100" t="s">
        <v>88</v>
      </c>
      <c r="D918" s="100" t="s">
        <v>223</v>
      </c>
      <c r="E918" s="100" t="s">
        <v>132</v>
      </c>
      <c r="F918" s="100" t="s">
        <v>174</v>
      </c>
      <c r="G918" s="100" t="s">
        <v>730</v>
      </c>
      <c r="H918" s="99"/>
      <c r="I918" s="74">
        <f>I919</f>
        <v>0</v>
      </c>
      <c r="J918" s="74">
        <f>J919</f>
        <v>0</v>
      </c>
      <c r="K918" s="271">
        <f t="shared" si="160"/>
        <v>0</v>
      </c>
      <c r="L918" s="74">
        <f>L919</f>
        <v>0</v>
      </c>
      <c r="M918" s="74">
        <f>M919</f>
        <v>0</v>
      </c>
    </row>
    <row r="919" spans="1:13" ht="30" hidden="1">
      <c r="A919" s="109" t="s">
        <v>688</v>
      </c>
      <c r="B919" s="270" t="s">
        <v>31</v>
      </c>
      <c r="C919" s="100" t="s">
        <v>88</v>
      </c>
      <c r="D919" s="100" t="s">
        <v>223</v>
      </c>
      <c r="E919" s="100" t="s">
        <v>132</v>
      </c>
      <c r="F919" s="100" t="s">
        <v>174</v>
      </c>
      <c r="G919" s="100" t="s">
        <v>730</v>
      </c>
      <c r="H919" s="99" t="s">
        <v>689</v>
      </c>
      <c r="I919" s="74"/>
      <c r="J919" s="74"/>
      <c r="K919" s="271">
        <f t="shared" si="160"/>
        <v>0</v>
      </c>
      <c r="L919" s="74"/>
      <c r="M919" s="74"/>
    </row>
    <row r="920" spans="1:13" ht="15">
      <c r="A920" s="111" t="s">
        <v>201</v>
      </c>
      <c r="B920" s="270" t="s">
        <v>31</v>
      </c>
      <c r="C920" s="100" t="s">
        <v>88</v>
      </c>
      <c r="D920" s="100" t="s">
        <v>223</v>
      </c>
      <c r="E920" s="100" t="s">
        <v>132</v>
      </c>
      <c r="F920" s="100" t="s">
        <v>174</v>
      </c>
      <c r="G920" s="100" t="s">
        <v>202</v>
      </c>
      <c r="H920" s="99"/>
      <c r="I920" s="74">
        <f>I921</f>
        <v>17301.2</v>
      </c>
      <c r="J920" s="74">
        <f>J921</f>
        <v>17294</v>
      </c>
      <c r="K920" s="271">
        <f t="shared" si="160"/>
        <v>-7.200000000000728</v>
      </c>
      <c r="L920" s="74">
        <f>L921</f>
        <v>1060</v>
      </c>
      <c r="M920" s="74">
        <f>M921</f>
        <v>0</v>
      </c>
    </row>
    <row r="921" spans="1:13" ht="30">
      <c r="A921" s="109" t="s">
        <v>688</v>
      </c>
      <c r="B921" s="270" t="s">
        <v>31</v>
      </c>
      <c r="C921" s="100" t="s">
        <v>88</v>
      </c>
      <c r="D921" s="100" t="s">
        <v>223</v>
      </c>
      <c r="E921" s="100" t="s">
        <v>132</v>
      </c>
      <c r="F921" s="100" t="s">
        <v>174</v>
      </c>
      <c r="G921" s="100" t="s">
        <v>202</v>
      </c>
      <c r="H921" s="99" t="s">
        <v>689</v>
      </c>
      <c r="I921" s="74">
        <f>2300+8242.5+581.3+5883.5-8000+1866.6+1401.7-1272.4+2800+3000+498</f>
        <v>17301.2</v>
      </c>
      <c r="J921" s="74">
        <f>2300+8242.5+581.3+5883.5-8000+1866.6+1401.7-1272.4+2800+3000+498-7.2</f>
        <v>17294</v>
      </c>
      <c r="K921" s="271">
        <f t="shared" si="160"/>
        <v>-7.200000000000728</v>
      </c>
      <c r="L921" s="74">
        <f>2800-1740</f>
        <v>1060</v>
      </c>
      <c r="M921" s="74">
        <f>46400-46400</f>
        <v>0</v>
      </c>
    </row>
    <row r="922" spans="1:13" ht="30">
      <c r="A922" s="289" t="s">
        <v>254</v>
      </c>
      <c r="B922" s="270" t="s">
        <v>31</v>
      </c>
      <c r="C922" s="100" t="s">
        <v>88</v>
      </c>
      <c r="D922" s="100" t="s">
        <v>223</v>
      </c>
      <c r="E922" s="100" t="s">
        <v>132</v>
      </c>
      <c r="F922" s="100" t="s">
        <v>174</v>
      </c>
      <c r="G922" s="100" t="s">
        <v>255</v>
      </c>
      <c r="H922" s="99"/>
      <c r="I922" s="74">
        <f>I923</f>
        <v>1302.2</v>
      </c>
      <c r="J922" s="74">
        <f>J923</f>
        <v>3713.7000000000003</v>
      </c>
      <c r="K922" s="271">
        <f t="shared" si="160"/>
        <v>2411.5</v>
      </c>
      <c r="L922" s="74">
        <f>L923</f>
        <v>1777.8</v>
      </c>
      <c r="M922" s="74">
        <f>M923</f>
        <v>0</v>
      </c>
    </row>
    <row r="923" spans="1:13" ht="30">
      <c r="A923" s="109" t="s">
        <v>688</v>
      </c>
      <c r="B923" s="270" t="s">
        <v>31</v>
      </c>
      <c r="C923" s="100" t="s">
        <v>88</v>
      </c>
      <c r="D923" s="100" t="s">
        <v>223</v>
      </c>
      <c r="E923" s="100" t="s">
        <v>132</v>
      </c>
      <c r="F923" s="100" t="s">
        <v>174</v>
      </c>
      <c r="G923" s="100" t="s">
        <v>255</v>
      </c>
      <c r="H923" s="99" t="s">
        <v>689</v>
      </c>
      <c r="I923" s="74">
        <f>439.2+2206.4-1866.6-45.9+569.1</f>
        <v>1302.2</v>
      </c>
      <c r="J923" s="74">
        <f>439.2+2206.4-1866.6-45.9+569.1+1563.2+69.3+500+279</f>
        <v>3713.7000000000003</v>
      </c>
      <c r="K923" s="271">
        <f t="shared" si="160"/>
        <v>2411.5</v>
      </c>
      <c r="L923" s="74">
        <f>1169+608.8</f>
        <v>1777.8</v>
      </c>
      <c r="M923" s="74"/>
    </row>
    <row r="924" spans="1:13" ht="15">
      <c r="A924" s="102" t="s">
        <v>925</v>
      </c>
      <c r="B924" s="270" t="s">
        <v>31</v>
      </c>
      <c r="C924" s="100" t="s">
        <v>88</v>
      </c>
      <c r="D924" s="100" t="s">
        <v>223</v>
      </c>
      <c r="E924" s="100" t="s">
        <v>132</v>
      </c>
      <c r="F924" s="100" t="s">
        <v>174</v>
      </c>
      <c r="G924" s="100" t="s">
        <v>238</v>
      </c>
      <c r="H924" s="99"/>
      <c r="I924" s="74">
        <f>I925</f>
        <v>4127.6</v>
      </c>
      <c r="J924" s="74">
        <f>J925</f>
        <v>4127.6</v>
      </c>
      <c r="K924" s="271">
        <f t="shared" si="160"/>
        <v>0</v>
      </c>
      <c r="L924" s="74">
        <f>L925</f>
        <v>3000</v>
      </c>
      <c r="M924" s="74">
        <f>M925</f>
        <v>0</v>
      </c>
    </row>
    <row r="925" spans="1:13" ht="32.25" customHeight="1">
      <c r="A925" s="109" t="s">
        <v>688</v>
      </c>
      <c r="B925" s="270" t="s">
        <v>31</v>
      </c>
      <c r="C925" s="100" t="s">
        <v>88</v>
      </c>
      <c r="D925" s="100" t="s">
        <v>223</v>
      </c>
      <c r="E925" s="100" t="s">
        <v>132</v>
      </c>
      <c r="F925" s="100" t="s">
        <v>174</v>
      </c>
      <c r="G925" s="100" t="s">
        <v>238</v>
      </c>
      <c r="H925" s="99" t="s">
        <v>689</v>
      </c>
      <c r="I925" s="74">
        <f>400+3351.4+376.2</f>
        <v>4127.6</v>
      </c>
      <c r="J925" s="74">
        <f>400+3351.4+376.2</f>
        <v>4127.6</v>
      </c>
      <c r="K925" s="271">
        <f t="shared" si="160"/>
        <v>0</v>
      </c>
      <c r="L925" s="74">
        <v>3000</v>
      </c>
      <c r="M925" s="74"/>
    </row>
    <row r="926" spans="1:13" ht="20.25" customHeight="1" hidden="1">
      <c r="A926" s="109" t="s">
        <v>256</v>
      </c>
      <c r="B926" s="270">
        <v>119</v>
      </c>
      <c r="C926" s="100" t="s">
        <v>88</v>
      </c>
      <c r="D926" s="100" t="s">
        <v>223</v>
      </c>
      <c r="E926" s="100" t="s">
        <v>132</v>
      </c>
      <c r="F926" s="100" t="s">
        <v>174</v>
      </c>
      <c r="G926" s="100" t="s">
        <v>698</v>
      </c>
      <c r="H926" s="99"/>
      <c r="I926" s="74"/>
      <c r="J926" s="74">
        <f>J927</f>
        <v>0</v>
      </c>
      <c r="K926" s="271">
        <f t="shared" si="160"/>
        <v>0</v>
      </c>
      <c r="L926" s="74">
        <f>L927</f>
        <v>0</v>
      </c>
      <c r="M926" s="74">
        <f>M927</f>
        <v>0</v>
      </c>
    </row>
    <row r="927" spans="1:13" ht="15.75" customHeight="1" hidden="1">
      <c r="A927" s="109" t="s">
        <v>688</v>
      </c>
      <c r="B927" s="270">
        <v>119</v>
      </c>
      <c r="C927" s="100" t="s">
        <v>88</v>
      </c>
      <c r="D927" s="100" t="s">
        <v>223</v>
      </c>
      <c r="E927" s="100" t="s">
        <v>132</v>
      </c>
      <c r="F927" s="100" t="s">
        <v>174</v>
      </c>
      <c r="G927" s="100" t="s">
        <v>698</v>
      </c>
      <c r="H927" s="99" t="s">
        <v>689</v>
      </c>
      <c r="I927" s="74"/>
      <c r="J927" s="74">
        <f>208.2-208.2</f>
        <v>0</v>
      </c>
      <c r="K927" s="271">
        <f t="shared" si="160"/>
        <v>0</v>
      </c>
      <c r="L927" s="74"/>
      <c r="M927" s="74"/>
    </row>
    <row r="928" spans="1:13" ht="19.5" customHeight="1">
      <c r="A928" s="109" t="s">
        <v>257</v>
      </c>
      <c r="B928" s="270">
        <v>119</v>
      </c>
      <c r="C928" s="100" t="s">
        <v>88</v>
      </c>
      <c r="D928" s="100" t="s">
        <v>223</v>
      </c>
      <c r="E928" s="100" t="s">
        <v>132</v>
      </c>
      <c r="F928" s="100" t="s">
        <v>174</v>
      </c>
      <c r="G928" s="100" t="s">
        <v>258</v>
      </c>
      <c r="H928" s="99"/>
      <c r="I928" s="74">
        <f>I929</f>
        <v>96559.09999999999</v>
      </c>
      <c r="J928" s="74">
        <f>J929</f>
        <v>96559.09999999999</v>
      </c>
      <c r="K928" s="271">
        <f t="shared" si="160"/>
        <v>0</v>
      </c>
      <c r="L928" s="74">
        <f>L929</f>
        <v>0</v>
      </c>
      <c r="M928" s="74">
        <f>M929</f>
        <v>0</v>
      </c>
    </row>
    <row r="929" spans="1:13" ht="34.5" customHeight="1">
      <c r="A929" s="109" t="s">
        <v>688</v>
      </c>
      <c r="B929" s="270">
        <v>119</v>
      </c>
      <c r="C929" s="100" t="s">
        <v>88</v>
      </c>
      <c r="D929" s="100" t="s">
        <v>223</v>
      </c>
      <c r="E929" s="100" t="s">
        <v>132</v>
      </c>
      <c r="F929" s="100" t="s">
        <v>174</v>
      </c>
      <c r="G929" s="100" t="s">
        <v>258</v>
      </c>
      <c r="H929" s="99" t="s">
        <v>689</v>
      </c>
      <c r="I929" s="74">
        <f>9656+86903.2-0.1</f>
        <v>96559.09999999999</v>
      </c>
      <c r="J929" s="74">
        <f>9656+86903.2-0.1</f>
        <v>96559.09999999999</v>
      </c>
      <c r="K929" s="271">
        <f t="shared" si="160"/>
        <v>0</v>
      </c>
      <c r="L929" s="74"/>
      <c r="M929" s="74"/>
    </row>
    <row r="930" spans="1:13" ht="30">
      <c r="A930" s="109" t="s">
        <v>920</v>
      </c>
      <c r="B930" s="270">
        <v>119</v>
      </c>
      <c r="C930" s="100" t="s">
        <v>88</v>
      </c>
      <c r="D930" s="100" t="s">
        <v>223</v>
      </c>
      <c r="E930" s="100" t="s">
        <v>132</v>
      </c>
      <c r="F930" s="100" t="s">
        <v>174</v>
      </c>
      <c r="G930" s="100" t="s">
        <v>921</v>
      </c>
      <c r="H930" s="99"/>
      <c r="I930" s="74">
        <f>I931</f>
        <v>272456</v>
      </c>
      <c r="J930" s="74">
        <f>J931</f>
        <v>272456</v>
      </c>
      <c r="K930" s="271">
        <f t="shared" si="160"/>
        <v>0</v>
      </c>
      <c r="L930" s="74">
        <f>L931</f>
        <v>303000</v>
      </c>
      <c r="M930" s="74">
        <f>M931</f>
        <v>244437</v>
      </c>
    </row>
    <row r="931" spans="1:13" ht="30">
      <c r="A931" s="109" t="s">
        <v>696</v>
      </c>
      <c r="B931" s="270">
        <v>119</v>
      </c>
      <c r="C931" s="100" t="s">
        <v>88</v>
      </c>
      <c r="D931" s="100" t="s">
        <v>223</v>
      </c>
      <c r="E931" s="100" t="s">
        <v>132</v>
      </c>
      <c r="F931" s="100" t="s">
        <v>174</v>
      </c>
      <c r="G931" s="100" t="s">
        <v>921</v>
      </c>
      <c r="H931" s="99" t="s">
        <v>693</v>
      </c>
      <c r="I931" s="74">
        <f>41260-804+232000</f>
        <v>272456</v>
      </c>
      <c r="J931" s="74">
        <f>41260-804+232000</f>
        <v>272456</v>
      </c>
      <c r="K931" s="271">
        <f t="shared" si="160"/>
        <v>0</v>
      </c>
      <c r="L931" s="74">
        <f>41260+1740+260000</f>
        <v>303000</v>
      </c>
      <c r="M931" s="74">
        <f>39841+204596</f>
        <v>244437</v>
      </c>
    </row>
    <row r="932" spans="1:13" ht="30" hidden="1">
      <c r="A932" s="109" t="s">
        <v>920</v>
      </c>
      <c r="B932" s="270">
        <v>119</v>
      </c>
      <c r="C932" s="100" t="s">
        <v>88</v>
      </c>
      <c r="D932" s="100" t="s">
        <v>223</v>
      </c>
      <c r="E932" s="100" t="s">
        <v>132</v>
      </c>
      <c r="F932" s="100" t="s">
        <v>174</v>
      </c>
      <c r="G932" s="100" t="s">
        <v>921</v>
      </c>
      <c r="H932" s="99"/>
      <c r="I932" s="74"/>
      <c r="J932" s="74">
        <f>J933</f>
        <v>0</v>
      </c>
      <c r="K932" s="271">
        <f t="shared" si="160"/>
        <v>0</v>
      </c>
      <c r="L932" s="74">
        <f>L933</f>
        <v>0</v>
      </c>
      <c r="M932" s="74">
        <f>M933</f>
        <v>0</v>
      </c>
    </row>
    <row r="933" spans="1:13" ht="23.25" customHeight="1" hidden="1">
      <c r="A933" s="109" t="s">
        <v>688</v>
      </c>
      <c r="B933" s="270">
        <v>119</v>
      </c>
      <c r="C933" s="100" t="s">
        <v>88</v>
      </c>
      <c r="D933" s="100" t="s">
        <v>223</v>
      </c>
      <c r="E933" s="100" t="s">
        <v>132</v>
      </c>
      <c r="F933" s="100" t="s">
        <v>174</v>
      </c>
      <c r="G933" s="100" t="s">
        <v>921</v>
      </c>
      <c r="H933" s="99" t="s">
        <v>689</v>
      </c>
      <c r="I933" s="74"/>
      <c r="J933" s="74">
        <f>6976-6976</f>
        <v>0</v>
      </c>
      <c r="K933" s="271">
        <f t="shared" si="160"/>
        <v>0</v>
      </c>
      <c r="L933" s="74">
        <f>41260-41260</f>
        <v>0</v>
      </c>
      <c r="M933" s="74">
        <f>41260-41260</f>
        <v>0</v>
      </c>
    </row>
    <row r="934" spans="1:13" ht="30">
      <c r="A934" s="109" t="s">
        <v>1031</v>
      </c>
      <c r="B934" s="270">
        <v>119</v>
      </c>
      <c r="C934" s="100" t="s">
        <v>88</v>
      </c>
      <c r="D934" s="100" t="s">
        <v>223</v>
      </c>
      <c r="E934" s="100" t="s">
        <v>132</v>
      </c>
      <c r="F934" s="100" t="s">
        <v>174</v>
      </c>
      <c r="G934" s="100" t="s">
        <v>1030</v>
      </c>
      <c r="H934" s="99"/>
      <c r="I934" s="74">
        <f>I935</f>
        <v>7736.799999999999</v>
      </c>
      <c r="J934" s="74">
        <f>J935</f>
        <v>7736.799999999999</v>
      </c>
      <c r="K934" s="271">
        <f t="shared" si="160"/>
        <v>0</v>
      </c>
      <c r="L934" s="74">
        <f>L935</f>
        <v>0</v>
      </c>
      <c r="M934" s="74">
        <f>M935</f>
        <v>0</v>
      </c>
    </row>
    <row r="935" spans="1:13" ht="30">
      <c r="A935" s="115" t="s">
        <v>688</v>
      </c>
      <c r="B935" s="270">
        <v>119</v>
      </c>
      <c r="C935" s="100" t="s">
        <v>88</v>
      </c>
      <c r="D935" s="100" t="s">
        <v>223</v>
      </c>
      <c r="E935" s="100" t="s">
        <v>132</v>
      </c>
      <c r="F935" s="100" t="s">
        <v>174</v>
      </c>
      <c r="G935" s="100" t="s">
        <v>1030</v>
      </c>
      <c r="H935" s="99" t="s">
        <v>689</v>
      </c>
      <c r="I935" s="74">
        <f>386.9+7350-0.1</f>
        <v>7736.799999999999</v>
      </c>
      <c r="J935" s="74">
        <f>386.9+7350-0.1</f>
        <v>7736.799999999999</v>
      </c>
      <c r="K935" s="271">
        <f t="shared" si="160"/>
        <v>0</v>
      </c>
      <c r="L935" s="74"/>
      <c r="M935" s="74"/>
    </row>
    <row r="936" spans="1:13" ht="30">
      <c r="A936" s="115" t="s">
        <v>1075</v>
      </c>
      <c r="B936" s="270">
        <v>119</v>
      </c>
      <c r="C936" s="100" t="s">
        <v>88</v>
      </c>
      <c r="D936" s="100" t="s">
        <v>223</v>
      </c>
      <c r="E936" s="100" t="s">
        <v>132</v>
      </c>
      <c r="F936" s="100" t="s">
        <v>174</v>
      </c>
      <c r="G936" s="100" t="s">
        <v>1076</v>
      </c>
      <c r="H936" s="99"/>
      <c r="I936" s="74">
        <f>I937</f>
        <v>24444.4</v>
      </c>
      <c r="J936" s="74">
        <f>J937</f>
        <v>24444.4</v>
      </c>
      <c r="K936" s="271">
        <f t="shared" si="160"/>
        <v>0</v>
      </c>
      <c r="L936" s="74">
        <f>L937</f>
        <v>24444.5</v>
      </c>
      <c r="M936" s="74">
        <f>M937</f>
        <v>24444.5</v>
      </c>
    </row>
    <row r="937" spans="1:13" ht="30">
      <c r="A937" s="115" t="s">
        <v>688</v>
      </c>
      <c r="B937" s="270">
        <v>119</v>
      </c>
      <c r="C937" s="100" t="s">
        <v>88</v>
      </c>
      <c r="D937" s="100" t="s">
        <v>223</v>
      </c>
      <c r="E937" s="100" t="s">
        <v>132</v>
      </c>
      <c r="F937" s="100" t="s">
        <v>174</v>
      </c>
      <c r="G937" s="100" t="s">
        <v>1076</v>
      </c>
      <c r="H937" s="99" t="s">
        <v>689</v>
      </c>
      <c r="I937" s="74">
        <f>3088.8+11000-3088.8+1222.2+2624+11000-1401.8</f>
        <v>24444.4</v>
      </c>
      <c r="J937" s="74">
        <f>3088.8+11000-3088.8+1222.2+2624+11000-1401.8</f>
        <v>24444.4</v>
      </c>
      <c r="K937" s="271">
        <f t="shared" si="160"/>
        <v>0</v>
      </c>
      <c r="L937" s="74">
        <f>22000+2444.5</f>
        <v>24444.5</v>
      </c>
      <c r="M937" s="74">
        <f>22000+2444.5</f>
        <v>24444.5</v>
      </c>
    </row>
    <row r="938" spans="1:13" ht="30">
      <c r="A938" s="115" t="s">
        <v>729</v>
      </c>
      <c r="B938" s="270">
        <v>119</v>
      </c>
      <c r="C938" s="100" t="s">
        <v>88</v>
      </c>
      <c r="D938" s="100" t="s">
        <v>223</v>
      </c>
      <c r="E938" s="100" t="s">
        <v>132</v>
      </c>
      <c r="F938" s="100" t="s">
        <v>174</v>
      </c>
      <c r="G938" s="100" t="s">
        <v>730</v>
      </c>
      <c r="H938" s="99"/>
      <c r="I938" s="74">
        <f>I939</f>
        <v>130</v>
      </c>
      <c r="J938" s="74">
        <f>J939</f>
        <v>130</v>
      </c>
      <c r="K938" s="271">
        <f t="shared" si="160"/>
        <v>0</v>
      </c>
      <c r="L938" s="74">
        <f>L939</f>
        <v>0</v>
      </c>
      <c r="M938" s="74">
        <f>M939</f>
        <v>0</v>
      </c>
    </row>
    <row r="939" spans="1:13" ht="30">
      <c r="A939" s="115" t="s">
        <v>688</v>
      </c>
      <c r="B939" s="270">
        <v>119</v>
      </c>
      <c r="C939" s="100" t="s">
        <v>88</v>
      </c>
      <c r="D939" s="100" t="s">
        <v>223</v>
      </c>
      <c r="E939" s="100" t="s">
        <v>132</v>
      </c>
      <c r="F939" s="100" t="s">
        <v>174</v>
      </c>
      <c r="G939" s="100" t="s">
        <v>730</v>
      </c>
      <c r="H939" s="99" t="s">
        <v>689</v>
      </c>
      <c r="I939" s="74">
        <v>130</v>
      </c>
      <c r="J939" s="74">
        <v>130</v>
      </c>
      <c r="K939" s="271">
        <f t="shared" si="160"/>
        <v>0</v>
      </c>
      <c r="L939" s="74"/>
      <c r="M939" s="74"/>
    </row>
    <row r="940" spans="1:13" ht="21" customHeight="1">
      <c r="A940" s="115" t="s">
        <v>1131</v>
      </c>
      <c r="B940" s="270">
        <v>119</v>
      </c>
      <c r="C940" s="100" t="s">
        <v>88</v>
      </c>
      <c r="D940" s="100" t="s">
        <v>223</v>
      </c>
      <c r="E940" s="100" t="s">
        <v>132</v>
      </c>
      <c r="F940" s="100" t="s">
        <v>174</v>
      </c>
      <c r="G940" s="100" t="s">
        <v>1132</v>
      </c>
      <c r="H940" s="99"/>
      <c r="I940" s="74">
        <f>I941</f>
        <v>0</v>
      </c>
      <c r="J940" s="74">
        <f>J941</f>
        <v>10041</v>
      </c>
      <c r="K940" s="271">
        <f t="shared" si="160"/>
        <v>10041</v>
      </c>
      <c r="L940" s="74">
        <f>L941</f>
        <v>0</v>
      </c>
      <c r="M940" s="74">
        <f>M941</f>
        <v>0</v>
      </c>
    </row>
    <row r="941" spans="1:13" ht="30">
      <c r="A941" s="115" t="s">
        <v>688</v>
      </c>
      <c r="B941" s="270">
        <v>119</v>
      </c>
      <c r="C941" s="100" t="s">
        <v>88</v>
      </c>
      <c r="D941" s="100" t="s">
        <v>223</v>
      </c>
      <c r="E941" s="100" t="s">
        <v>132</v>
      </c>
      <c r="F941" s="100" t="s">
        <v>174</v>
      </c>
      <c r="G941" s="100" t="s">
        <v>1132</v>
      </c>
      <c r="H941" s="99" t="s">
        <v>689</v>
      </c>
      <c r="I941" s="74"/>
      <c r="J941" s="74">
        <v>10041</v>
      </c>
      <c r="K941" s="271">
        <f t="shared" si="160"/>
        <v>10041</v>
      </c>
      <c r="L941" s="74"/>
      <c r="M941" s="74"/>
    </row>
    <row r="942" spans="1:13" ht="15">
      <c r="A942" s="127" t="s">
        <v>970</v>
      </c>
      <c r="B942" s="266">
        <v>119</v>
      </c>
      <c r="C942" s="95" t="s">
        <v>88</v>
      </c>
      <c r="D942" s="95" t="s">
        <v>223</v>
      </c>
      <c r="E942" s="95" t="s">
        <v>132</v>
      </c>
      <c r="F942" s="95" t="s">
        <v>971</v>
      </c>
      <c r="G942" s="95" t="s">
        <v>150</v>
      </c>
      <c r="H942" s="67"/>
      <c r="I942" s="36">
        <f>I943</f>
        <v>1255.8</v>
      </c>
      <c r="J942" s="36">
        <f>J943</f>
        <v>1255.8</v>
      </c>
      <c r="K942" s="267">
        <f aca="true" t="shared" si="161" ref="K942:K973">J942-I942</f>
        <v>0</v>
      </c>
      <c r="L942" s="36">
        <f>L943</f>
        <v>0</v>
      </c>
      <c r="M942" s="36">
        <f>M943</f>
        <v>126.2</v>
      </c>
    </row>
    <row r="943" spans="1:13" ht="30">
      <c r="A943" s="109" t="s">
        <v>973</v>
      </c>
      <c r="B943" s="270">
        <v>119</v>
      </c>
      <c r="C943" s="100" t="s">
        <v>88</v>
      </c>
      <c r="D943" s="100" t="s">
        <v>223</v>
      </c>
      <c r="E943" s="100" t="s">
        <v>132</v>
      </c>
      <c r="F943" s="100" t="s">
        <v>971</v>
      </c>
      <c r="G943" s="100" t="s">
        <v>972</v>
      </c>
      <c r="H943" s="99"/>
      <c r="I943" s="74">
        <f>I944</f>
        <v>1255.8</v>
      </c>
      <c r="J943" s="74">
        <f>J944</f>
        <v>1255.8</v>
      </c>
      <c r="K943" s="271">
        <f t="shared" si="161"/>
        <v>0</v>
      </c>
      <c r="L943" s="74">
        <f>L944</f>
        <v>0</v>
      </c>
      <c r="M943" s="74">
        <f>M944</f>
        <v>126.2</v>
      </c>
    </row>
    <row r="944" spans="1:13" ht="30">
      <c r="A944" s="109" t="s">
        <v>688</v>
      </c>
      <c r="B944" s="270">
        <v>119</v>
      </c>
      <c r="C944" s="100" t="s">
        <v>88</v>
      </c>
      <c r="D944" s="100" t="s">
        <v>223</v>
      </c>
      <c r="E944" s="100" t="s">
        <v>132</v>
      </c>
      <c r="F944" s="100" t="s">
        <v>971</v>
      </c>
      <c r="G944" s="100" t="s">
        <v>972</v>
      </c>
      <c r="H944" s="270">
        <v>600</v>
      </c>
      <c r="I944" s="74">
        <f>225-99.4+1130.2</f>
        <v>1255.8</v>
      </c>
      <c r="J944" s="74">
        <f>225-99.4+1130.2</f>
        <v>1255.8</v>
      </c>
      <c r="K944" s="271">
        <f t="shared" si="161"/>
        <v>0</v>
      </c>
      <c r="L944" s="74">
        <f>229-229</f>
        <v>0</v>
      </c>
      <c r="M944" s="74">
        <f>234-107.8</f>
        <v>126.2</v>
      </c>
    </row>
    <row r="945" spans="1:13" ht="15" hidden="1">
      <c r="A945" s="127" t="s">
        <v>963</v>
      </c>
      <c r="B945" s="266">
        <v>119</v>
      </c>
      <c r="C945" s="95" t="s">
        <v>88</v>
      </c>
      <c r="D945" s="95" t="s">
        <v>223</v>
      </c>
      <c r="E945" s="95" t="s">
        <v>132</v>
      </c>
      <c r="F945" s="95" t="s">
        <v>964</v>
      </c>
      <c r="G945" s="95" t="s">
        <v>150</v>
      </c>
      <c r="H945" s="67"/>
      <c r="I945" s="36">
        <f>I946</f>
        <v>0</v>
      </c>
      <c r="J945" s="36">
        <f>J946</f>
        <v>0</v>
      </c>
      <c r="K945" s="267">
        <f t="shared" si="161"/>
        <v>0</v>
      </c>
      <c r="L945" s="36">
        <f>L946</f>
        <v>0</v>
      </c>
      <c r="M945" s="36">
        <f>M946</f>
        <v>0</v>
      </c>
    </row>
    <row r="946" spans="1:13" ht="34.5" customHeight="1" hidden="1">
      <c r="A946" s="109" t="s">
        <v>965</v>
      </c>
      <c r="B946" s="270">
        <v>119</v>
      </c>
      <c r="C946" s="100" t="s">
        <v>88</v>
      </c>
      <c r="D946" s="100" t="s">
        <v>223</v>
      </c>
      <c r="E946" s="100" t="s">
        <v>132</v>
      </c>
      <c r="F946" s="100" t="s">
        <v>964</v>
      </c>
      <c r="G946" s="100" t="s">
        <v>966</v>
      </c>
      <c r="H946" s="99"/>
      <c r="I946" s="74">
        <f>I947</f>
        <v>0</v>
      </c>
      <c r="J946" s="74">
        <f>J947</f>
        <v>0</v>
      </c>
      <c r="K946" s="271">
        <f t="shared" si="161"/>
        <v>0</v>
      </c>
      <c r="L946" s="74">
        <f>L947</f>
        <v>0</v>
      </c>
      <c r="M946" s="74">
        <f>M947</f>
        <v>0</v>
      </c>
    </row>
    <row r="947" spans="1:13" ht="30" hidden="1">
      <c r="A947" s="109" t="s">
        <v>688</v>
      </c>
      <c r="B947" s="270">
        <v>119</v>
      </c>
      <c r="C947" s="100" t="s">
        <v>88</v>
      </c>
      <c r="D947" s="100" t="s">
        <v>223</v>
      </c>
      <c r="E947" s="100" t="s">
        <v>132</v>
      </c>
      <c r="F947" s="100" t="s">
        <v>964</v>
      </c>
      <c r="G947" s="100" t="s">
        <v>966</v>
      </c>
      <c r="H947" s="99" t="s">
        <v>689</v>
      </c>
      <c r="I947" s="74">
        <f>240-240</f>
        <v>0</v>
      </c>
      <c r="J947" s="74">
        <f>240-240</f>
        <v>0</v>
      </c>
      <c r="K947" s="271">
        <f t="shared" si="161"/>
        <v>0</v>
      </c>
      <c r="L947" s="74">
        <f>240-240</f>
        <v>0</v>
      </c>
      <c r="M947" s="74">
        <f>240-240</f>
        <v>0</v>
      </c>
    </row>
    <row r="948" spans="1:13" s="276" customFormat="1" ht="18" customHeight="1">
      <c r="A948" s="127" t="s">
        <v>1064</v>
      </c>
      <c r="B948" s="266">
        <v>119</v>
      </c>
      <c r="C948" s="95" t="s">
        <v>88</v>
      </c>
      <c r="D948" s="95" t="s">
        <v>223</v>
      </c>
      <c r="E948" s="95" t="s">
        <v>132</v>
      </c>
      <c r="F948" s="95" t="s">
        <v>1066</v>
      </c>
      <c r="G948" s="95" t="s">
        <v>150</v>
      </c>
      <c r="H948" s="67"/>
      <c r="I948" s="36">
        <f>I949</f>
        <v>10155.6</v>
      </c>
      <c r="J948" s="36">
        <f>J949</f>
        <v>9896.6</v>
      </c>
      <c r="K948" s="267">
        <f t="shared" si="161"/>
        <v>-259</v>
      </c>
      <c r="L948" s="36">
        <f>L949</f>
        <v>0</v>
      </c>
      <c r="M948" s="36">
        <f>M949</f>
        <v>1000.2</v>
      </c>
    </row>
    <row r="949" spans="1:13" ht="45">
      <c r="A949" s="109" t="s">
        <v>1065</v>
      </c>
      <c r="B949" s="270">
        <v>119</v>
      </c>
      <c r="C949" s="100" t="s">
        <v>88</v>
      </c>
      <c r="D949" s="100" t="s">
        <v>223</v>
      </c>
      <c r="E949" s="100" t="s">
        <v>132</v>
      </c>
      <c r="F949" s="100" t="s">
        <v>1066</v>
      </c>
      <c r="G949" s="100" t="s">
        <v>1067</v>
      </c>
      <c r="H949" s="99"/>
      <c r="I949" s="74">
        <f>I950</f>
        <v>10155.6</v>
      </c>
      <c r="J949" s="74">
        <f>J950</f>
        <v>9896.6</v>
      </c>
      <c r="K949" s="271">
        <f t="shared" si="161"/>
        <v>-259</v>
      </c>
      <c r="L949" s="74">
        <f>L950</f>
        <v>0</v>
      </c>
      <c r="M949" s="74">
        <f>M950</f>
        <v>1000.2</v>
      </c>
    </row>
    <row r="950" spans="1:13" ht="30">
      <c r="A950" s="109" t="s">
        <v>688</v>
      </c>
      <c r="B950" s="270">
        <v>119</v>
      </c>
      <c r="C950" s="100" t="s">
        <v>88</v>
      </c>
      <c r="D950" s="100" t="s">
        <v>223</v>
      </c>
      <c r="E950" s="100" t="s">
        <v>132</v>
      </c>
      <c r="F950" s="100" t="s">
        <v>1066</v>
      </c>
      <c r="G950" s="100" t="s">
        <v>1067</v>
      </c>
      <c r="H950" s="99" t="s">
        <v>689</v>
      </c>
      <c r="I950" s="74">
        <f>1015.6+9140</f>
        <v>10155.6</v>
      </c>
      <c r="J950" s="74">
        <f>1015.6+9140-259</f>
        <v>9896.6</v>
      </c>
      <c r="K950" s="271">
        <f t="shared" si="161"/>
        <v>-259</v>
      </c>
      <c r="L950" s="74"/>
      <c r="M950" s="74">
        <v>1000.2</v>
      </c>
    </row>
    <row r="951" spans="1:13" s="276" customFormat="1" ht="26.25" customHeight="1" hidden="1">
      <c r="A951" s="127" t="s">
        <v>424</v>
      </c>
      <c r="B951" s="266" t="s">
        <v>31</v>
      </c>
      <c r="C951" s="95" t="s">
        <v>88</v>
      </c>
      <c r="D951" s="95" t="s">
        <v>425</v>
      </c>
      <c r="E951" s="95" t="s">
        <v>148</v>
      </c>
      <c r="F951" s="67" t="s">
        <v>149</v>
      </c>
      <c r="G951" s="95" t="s">
        <v>150</v>
      </c>
      <c r="H951" s="67"/>
      <c r="I951" s="36"/>
      <c r="J951" s="36">
        <f>J952</f>
        <v>0</v>
      </c>
      <c r="K951" s="267">
        <f t="shared" si="161"/>
        <v>0</v>
      </c>
      <c r="L951" s="36">
        <f>L952</f>
        <v>0</v>
      </c>
      <c r="M951" s="36">
        <f>M952</f>
        <v>0</v>
      </c>
    </row>
    <row r="952" spans="1:13" s="276" customFormat="1" ht="19.5" customHeight="1" hidden="1">
      <c r="A952" s="124" t="s">
        <v>399</v>
      </c>
      <c r="B952" s="266" t="s">
        <v>31</v>
      </c>
      <c r="C952" s="95" t="s">
        <v>88</v>
      </c>
      <c r="D952" s="95" t="s">
        <v>425</v>
      </c>
      <c r="E952" s="95" t="s">
        <v>329</v>
      </c>
      <c r="F952" s="67" t="s">
        <v>149</v>
      </c>
      <c r="G952" s="95" t="s">
        <v>150</v>
      </c>
      <c r="H952" s="67"/>
      <c r="I952" s="36"/>
      <c r="J952" s="36">
        <f>J953</f>
        <v>0</v>
      </c>
      <c r="K952" s="267">
        <f t="shared" si="161"/>
        <v>0</v>
      </c>
      <c r="L952" s="36">
        <f>L953</f>
        <v>0</v>
      </c>
      <c r="M952" s="36">
        <f>M953</f>
        <v>0</v>
      </c>
    </row>
    <row r="953" spans="1:13" s="276" customFormat="1" ht="35.25" customHeight="1" hidden="1">
      <c r="A953" s="125" t="s">
        <v>399</v>
      </c>
      <c r="B953" s="266" t="s">
        <v>31</v>
      </c>
      <c r="C953" s="95" t="s">
        <v>88</v>
      </c>
      <c r="D953" s="95" t="s">
        <v>425</v>
      </c>
      <c r="E953" s="95" t="s">
        <v>329</v>
      </c>
      <c r="F953" s="67" t="s">
        <v>147</v>
      </c>
      <c r="G953" s="95" t="s">
        <v>150</v>
      </c>
      <c r="H953" s="67"/>
      <c r="I953" s="36"/>
      <c r="J953" s="36">
        <f>J954+J960+J956+J958</f>
        <v>0</v>
      </c>
      <c r="K953" s="267">
        <f t="shared" si="161"/>
        <v>0</v>
      </c>
      <c r="L953" s="36">
        <f>L954+L960+L956+L958</f>
        <v>0</v>
      </c>
      <c r="M953" s="36">
        <f>M954+M960+M956+M958</f>
        <v>0</v>
      </c>
    </row>
    <row r="954" spans="1:13" s="276" customFormat="1" ht="34.5" customHeight="1" hidden="1">
      <c r="A954" s="289" t="s">
        <v>235</v>
      </c>
      <c r="B954" s="270" t="s">
        <v>31</v>
      </c>
      <c r="C954" s="100" t="s">
        <v>88</v>
      </c>
      <c r="D954" s="100" t="s">
        <v>425</v>
      </c>
      <c r="E954" s="100" t="s">
        <v>329</v>
      </c>
      <c r="F954" s="99" t="s">
        <v>147</v>
      </c>
      <c r="G954" s="100" t="s">
        <v>202</v>
      </c>
      <c r="H954" s="99"/>
      <c r="I954" s="74"/>
      <c r="J954" s="74">
        <f>J955</f>
        <v>0</v>
      </c>
      <c r="K954" s="271">
        <f t="shared" si="161"/>
        <v>0</v>
      </c>
      <c r="L954" s="74">
        <f>L955</f>
        <v>0</v>
      </c>
      <c r="M954" s="74">
        <f>M955</f>
        <v>0</v>
      </c>
    </row>
    <row r="955" spans="1:13" s="276" customFormat="1" ht="22.5" customHeight="1" hidden="1">
      <c r="A955" s="109" t="s">
        <v>688</v>
      </c>
      <c r="B955" s="270" t="s">
        <v>31</v>
      </c>
      <c r="C955" s="100" t="s">
        <v>88</v>
      </c>
      <c r="D955" s="100" t="s">
        <v>425</v>
      </c>
      <c r="E955" s="100" t="s">
        <v>329</v>
      </c>
      <c r="F955" s="99" t="s">
        <v>147</v>
      </c>
      <c r="G955" s="100" t="s">
        <v>202</v>
      </c>
      <c r="H955" s="99" t="s">
        <v>689</v>
      </c>
      <c r="I955" s="74"/>
      <c r="J955" s="74"/>
      <c r="K955" s="271">
        <f t="shared" si="161"/>
        <v>0</v>
      </c>
      <c r="L955" s="74"/>
      <c r="M955" s="74"/>
    </row>
    <row r="956" spans="1:13" s="276" customFormat="1" ht="28.5" customHeight="1" hidden="1">
      <c r="A956" s="289" t="s">
        <v>254</v>
      </c>
      <c r="B956" s="270" t="s">
        <v>31</v>
      </c>
      <c r="C956" s="100" t="s">
        <v>88</v>
      </c>
      <c r="D956" s="100" t="s">
        <v>425</v>
      </c>
      <c r="E956" s="100" t="s">
        <v>329</v>
      </c>
      <c r="F956" s="99" t="s">
        <v>147</v>
      </c>
      <c r="G956" s="100" t="s">
        <v>255</v>
      </c>
      <c r="H956" s="99"/>
      <c r="I956" s="74"/>
      <c r="J956" s="74">
        <f>J957</f>
        <v>0</v>
      </c>
      <c r="K956" s="271">
        <f t="shared" si="161"/>
        <v>0</v>
      </c>
      <c r="L956" s="74">
        <f>L957</f>
        <v>0</v>
      </c>
      <c r="M956" s="74">
        <f>M957</f>
        <v>0</v>
      </c>
    </row>
    <row r="957" spans="1:13" s="276" customFormat="1" ht="28.5" customHeight="1" hidden="1">
      <c r="A957" s="109" t="s">
        <v>688</v>
      </c>
      <c r="B957" s="270" t="s">
        <v>31</v>
      </c>
      <c r="C957" s="100" t="s">
        <v>88</v>
      </c>
      <c r="D957" s="100" t="s">
        <v>425</v>
      </c>
      <c r="E957" s="100" t="s">
        <v>329</v>
      </c>
      <c r="F957" s="99" t="s">
        <v>147</v>
      </c>
      <c r="G957" s="100" t="s">
        <v>255</v>
      </c>
      <c r="H957" s="99" t="s">
        <v>689</v>
      </c>
      <c r="I957" s="74"/>
      <c r="J957" s="74"/>
      <c r="K957" s="271">
        <f t="shared" si="161"/>
        <v>0</v>
      </c>
      <c r="L957" s="74"/>
      <c r="M957" s="74"/>
    </row>
    <row r="958" spans="1:13" s="276" customFormat="1" ht="21" customHeight="1" hidden="1">
      <c r="A958" s="102" t="s">
        <v>925</v>
      </c>
      <c r="B958" s="270" t="s">
        <v>31</v>
      </c>
      <c r="C958" s="100" t="s">
        <v>88</v>
      </c>
      <c r="D958" s="100" t="s">
        <v>425</v>
      </c>
      <c r="E958" s="100" t="s">
        <v>329</v>
      </c>
      <c r="F958" s="99" t="s">
        <v>147</v>
      </c>
      <c r="G958" s="100" t="s">
        <v>238</v>
      </c>
      <c r="H958" s="99"/>
      <c r="I958" s="74"/>
      <c r="J958" s="74">
        <f>J959</f>
        <v>0</v>
      </c>
      <c r="K958" s="271">
        <f t="shared" si="161"/>
        <v>0</v>
      </c>
      <c r="L958" s="74">
        <f>L959</f>
        <v>0</v>
      </c>
      <c r="M958" s="74">
        <f>M959</f>
        <v>0</v>
      </c>
    </row>
    <row r="959" spans="1:13" s="276" customFormat="1" ht="21.75" customHeight="1" hidden="1">
      <c r="A959" s="109" t="s">
        <v>688</v>
      </c>
      <c r="B959" s="270" t="s">
        <v>31</v>
      </c>
      <c r="C959" s="100" t="s">
        <v>88</v>
      </c>
      <c r="D959" s="100" t="s">
        <v>425</v>
      </c>
      <c r="E959" s="100" t="s">
        <v>329</v>
      </c>
      <c r="F959" s="99" t="s">
        <v>147</v>
      </c>
      <c r="G959" s="100" t="s">
        <v>238</v>
      </c>
      <c r="H959" s="99" t="s">
        <v>689</v>
      </c>
      <c r="I959" s="74"/>
      <c r="J959" s="74"/>
      <c r="K959" s="271">
        <f t="shared" si="161"/>
        <v>0</v>
      </c>
      <c r="L959" s="74"/>
      <c r="M959" s="74"/>
    </row>
    <row r="960" spans="1:13" s="276" customFormat="1" ht="24" customHeight="1" hidden="1">
      <c r="A960" s="102" t="s">
        <v>333</v>
      </c>
      <c r="B960" s="270" t="s">
        <v>31</v>
      </c>
      <c r="C960" s="100" t="s">
        <v>88</v>
      </c>
      <c r="D960" s="100" t="s">
        <v>425</v>
      </c>
      <c r="E960" s="117">
        <v>9</v>
      </c>
      <c r="F960" s="100" t="s">
        <v>147</v>
      </c>
      <c r="G960" s="100" t="s">
        <v>334</v>
      </c>
      <c r="H960" s="117"/>
      <c r="I960" s="74"/>
      <c r="J960" s="74">
        <f>J961</f>
        <v>0</v>
      </c>
      <c r="K960" s="271">
        <f t="shared" si="161"/>
        <v>0</v>
      </c>
      <c r="L960" s="74">
        <f>L961</f>
        <v>0</v>
      </c>
      <c r="M960" s="74">
        <f>M961</f>
        <v>0</v>
      </c>
    </row>
    <row r="961" spans="1:13" s="276" customFormat="1" ht="26.25" customHeight="1" hidden="1">
      <c r="A961" s="102" t="s">
        <v>688</v>
      </c>
      <c r="B961" s="270" t="s">
        <v>31</v>
      </c>
      <c r="C961" s="100" t="s">
        <v>88</v>
      </c>
      <c r="D961" s="100" t="s">
        <v>425</v>
      </c>
      <c r="E961" s="117">
        <v>9</v>
      </c>
      <c r="F961" s="100" t="s">
        <v>147</v>
      </c>
      <c r="G961" s="100" t="s">
        <v>334</v>
      </c>
      <c r="H961" s="117">
        <v>600</v>
      </c>
      <c r="I961" s="74"/>
      <c r="J961" s="74"/>
      <c r="K961" s="271">
        <f t="shared" si="161"/>
        <v>0</v>
      </c>
      <c r="L961" s="74"/>
      <c r="M961" s="74"/>
    </row>
    <row r="962" spans="1:13" s="276" customFormat="1" ht="14.25">
      <c r="A962" s="127" t="s">
        <v>89</v>
      </c>
      <c r="B962" s="266">
        <v>119</v>
      </c>
      <c r="C962" s="95" t="s">
        <v>90</v>
      </c>
      <c r="D962" s="95"/>
      <c r="E962" s="95"/>
      <c r="F962" s="67"/>
      <c r="G962" s="95"/>
      <c r="H962" s="67"/>
      <c r="I962" s="36">
        <f aca="true" t="shared" si="162" ref="I962:M963">I963</f>
        <v>169556.9</v>
      </c>
      <c r="J962" s="36">
        <f t="shared" si="162"/>
        <v>170260.59999999998</v>
      </c>
      <c r="K962" s="267">
        <f t="shared" si="161"/>
        <v>703.6999999999825</v>
      </c>
      <c r="L962" s="36">
        <f t="shared" si="162"/>
        <v>168873.8</v>
      </c>
      <c r="M962" s="36">
        <f t="shared" si="162"/>
        <v>173716.8</v>
      </c>
    </row>
    <row r="963" spans="1:13" s="276" customFormat="1" ht="42.75">
      <c r="A963" s="127" t="s">
        <v>222</v>
      </c>
      <c r="B963" s="266">
        <v>119</v>
      </c>
      <c r="C963" s="95" t="s">
        <v>90</v>
      </c>
      <c r="D963" s="95" t="s">
        <v>223</v>
      </c>
      <c r="E963" s="95" t="s">
        <v>148</v>
      </c>
      <c r="F963" s="67" t="s">
        <v>149</v>
      </c>
      <c r="G963" s="95" t="s">
        <v>150</v>
      </c>
      <c r="H963" s="67"/>
      <c r="I963" s="36">
        <f t="shared" si="162"/>
        <v>169556.9</v>
      </c>
      <c r="J963" s="36">
        <f t="shared" si="162"/>
        <v>170260.59999999998</v>
      </c>
      <c r="K963" s="267">
        <f t="shared" si="161"/>
        <v>703.6999999999825</v>
      </c>
      <c r="L963" s="36">
        <f t="shared" si="162"/>
        <v>168873.8</v>
      </c>
      <c r="M963" s="36">
        <f t="shared" si="162"/>
        <v>173716.8</v>
      </c>
    </row>
    <row r="964" spans="1:13" s="276" customFormat="1" ht="28.5">
      <c r="A964" s="127" t="s">
        <v>472</v>
      </c>
      <c r="B964" s="266" t="s">
        <v>31</v>
      </c>
      <c r="C964" s="95" t="s">
        <v>90</v>
      </c>
      <c r="D964" s="67" t="s">
        <v>223</v>
      </c>
      <c r="E964" s="67" t="s">
        <v>134</v>
      </c>
      <c r="F964" s="67" t="s">
        <v>149</v>
      </c>
      <c r="G964" s="67" t="s">
        <v>150</v>
      </c>
      <c r="H964" s="67"/>
      <c r="I964" s="36">
        <f>I965+I974</f>
        <v>169556.9</v>
      </c>
      <c r="J964" s="36">
        <f>J965+J974</f>
        <v>170260.59999999998</v>
      </c>
      <c r="K964" s="267">
        <f t="shared" si="161"/>
        <v>703.6999999999825</v>
      </c>
      <c r="L964" s="36">
        <f>L965+L974</f>
        <v>168873.8</v>
      </c>
      <c r="M964" s="36">
        <f>M965+M974</f>
        <v>173716.8</v>
      </c>
    </row>
    <row r="965" spans="1:13" s="276" customFormat="1" ht="28.5">
      <c r="A965" s="125" t="s">
        <v>259</v>
      </c>
      <c r="B965" s="266">
        <v>119</v>
      </c>
      <c r="C965" s="95" t="s">
        <v>90</v>
      </c>
      <c r="D965" s="67" t="s">
        <v>223</v>
      </c>
      <c r="E965" s="67" t="s">
        <v>134</v>
      </c>
      <c r="F965" s="67" t="s">
        <v>147</v>
      </c>
      <c r="G965" s="67" t="s">
        <v>150</v>
      </c>
      <c r="H965" s="67"/>
      <c r="I965" s="36">
        <f>I966+I968+I970+I972</f>
        <v>164864.8</v>
      </c>
      <c r="J965" s="36">
        <f>J966+J968+J970+J972</f>
        <v>164864.8</v>
      </c>
      <c r="K965" s="267">
        <f t="shared" si="161"/>
        <v>0</v>
      </c>
      <c r="L965" s="36">
        <f>L966+L968+L970+L972</f>
        <v>162621</v>
      </c>
      <c r="M965" s="36">
        <f>M966+M968+M970+M972</f>
        <v>167874.5</v>
      </c>
    </row>
    <row r="966" spans="1:13" s="276" customFormat="1" ht="30">
      <c r="A966" s="111" t="s">
        <v>486</v>
      </c>
      <c r="B966" s="270">
        <v>119</v>
      </c>
      <c r="C966" s="100" t="s">
        <v>90</v>
      </c>
      <c r="D966" s="99" t="s">
        <v>223</v>
      </c>
      <c r="E966" s="99" t="s">
        <v>134</v>
      </c>
      <c r="F966" s="99" t="s">
        <v>147</v>
      </c>
      <c r="G966" s="100" t="s">
        <v>194</v>
      </c>
      <c r="H966" s="99"/>
      <c r="I966" s="74">
        <f>I967</f>
        <v>96668.79999999999</v>
      </c>
      <c r="J966" s="74">
        <f>J967</f>
        <v>107287.49999999999</v>
      </c>
      <c r="K966" s="271">
        <f t="shared" si="161"/>
        <v>10618.699999999997</v>
      </c>
      <c r="L966" s="74">
        <f>L967</f>
        <v>48904</v>
      </c>
      <c r="M966" s="74">
        <f>M967</f>
        <v>0</v>
      </c>
    </row>
    <row r="967" spans="1:13" s="276" customFormat="1" ht="30">
      <c r="A967" s="111" t="s">
        <v>688</v>
      </c>
      <c r="B967" s="270">
        <v>119</v>
      </c>
      <c r="C967" s="100" t="s">
        <v>90</v>
      </c>
      <c r="D967" s="99" t="s">
        <v>223</v>
      </c>
      <c r="E967" s="99" t="s">
        <v>134</v>
      </c>
      <c r="F967" s="99" t="s">
        <v>147</v>
      </c>
      <c r="G967" s="100" t="s">
        <v>194</v>
      </c>
      <c r="H967" s="99" t="s">
        <v>689</v>
      </c>
      <c r="I967" s="74">
        <f>161531.8-67806+1593.2+180+502+667.8</f>
        <v>96668.79999999999</v>
      </c>
      <c r="J967" s="74">
        <f>161531.8-67806+1593.2+180+502+667.8+2901.7+2916+4801</f>
        <v>107287.49999999999</v>
      </c>
      <c r="K967" s="271">
        <f t="shared" si="161"/>
        <v>10618.699999999997</v>
      </c>
      <c r="L967" s="74">
        <f>161811-112907</f>
        <v>48904</v>
      </c>
      <c r="M967" s="74">
        <f>167449.5-163875-3574.5</f>
        <v>0</v>
      </c>
    </row>
    <row r="968" spans="1:13" s="276" customFormat="1" ht="15">
      <c r="A968" s="289" t="s">
        <v>246</v>
      </c>
      <c r="B968" s="270" t="s">
        <v>31</v>
      </c>
      <c r="C968" s="100" t="s">
        <v>90</v>
      </c>
      <c r="D968" s="100" t="s">
        <v>223</v>
      </c>
      <c r="E968" s="100" t="s">
        <v>134</v>
      </c>
      <c r="F968" s="100" t="s">
        <v>147</v>
      </c>
      <c r="G968" s="100" t="s">
        <v>247</v>
      </c>
      <c r="H968" s="99"/>
      <c r="I968" s="74">
        <f>I969</f>
        <v>240</v>
      </c>
      <c r="J968" s="74">
        <f>J969</f>
        <v>240</v>
      </c>
      <c r="K968" s="271">
        <f t="shared" si="161"/>
        <v>0</v>
      </c>
      <c r="L968" s="74">
        <f>L969</f>
        <v>250</v>
      </c>
      <c r="M968" s="74">
        <f>M969</f>
        <v>260</v>
      </c>
    </row>
    <row r="969" spans="1:13" s="276" customFormat="1" ht="30">
      <c r="A969" s="109" t="s">
        <v>688</v>
      </c>
      <c r="B969" s="270" t="s">
        <v>31</v>
      </c>
      <c r="C969" s="100" t="s">
        <v>90</v>
      </c>
      <c r="D969" s="100" t="s">
        <v>223</v>
      </c>
      <c r="E969" s="100" t="s">
        <v>134</v>
      </c>
      <c r="F969" s="100" t="s">
        <v>147</v>
      </c>
      <c r="G969" s="100" t="s">
        <v>247</v>
      </c>
      <c r="H969" s="99" t="s">
        <v>689</v>
      </c>
      <c r="I969" s="74">
        <v>240</v>
      </c>
      <c r="J969" s="74">
        <v>240</v>
      </c>
      <c r="K969" s="271">
        <f t="shared" si="161"/>
        <v>0</v>
      </c>
      <c r="L969" s="74">
        <v>250</v>
      </c>
      <c r="M969" s="74">
        <v>260</v>
      </c>
    </row>
    <row r="970" spans="1:13" s="276" customFormat="1" ht="15">
      <c r="A970" s="111" t="s">
        <v>260</v>
      </c>
      <c r="B970" s="270" t="s">
        <v>31</v>
      </c>
      <c r="C970" s="100" t="s">
        <v>90</v>
      </c>
      <c r="D970" s="100" t="s">
        <v>223</v>
      </c>
      <c r="E970" s="100" t="s">
        <v>134</v>
      </c>
      <c r="F970" s="100" t="s">
        <v>147</v>
      </c>
      <c r="G970" s="100" t="s">
        <v>261</v>
      </c>
      <c r="H970" s="99"/>
      <c r="I970" s="74">
        <f>I971</f>
        <v>150</v>
      </c>
      <c r="J970" s="74">
        <f>J971</f>
        <v>150</v>
      </c>
      <c r="K970" s="271">
        <f t="shared" si="161"/>
        <v>0</v>
      </c>
      <c r="L970" s="74">
        <f>L971</f>
        <v>560</v>
      </c>
      <c r="M970" s="74">
        <f>M971</f>
        <v>165</v>
      </c>
    </row>
    <row r="971" spans="1:13" s="276" customFormat="1" ht="30">
      <c r="A971" s="109" t="s">
        <v>688</v>
      </c>
      <c r="B971" s="270" t="s">
        <v>31</v>
      </c>
      <c r="C971" s="100" t="s">
        <v>90</v>
      </c>
      <c r="D971" s="100" t="s">
        <v>223</v>
      </c>
      <c r="E971" s="100" t="s">
        <v>134</v>
      </c>
      <c r="F971" s="100" t="s">
        <v>147</v>
      </c>
      <c r="G971" s="100" t="s">
        <v>261</v>
      </c>
      <c r="H971" s="99" t="s">
        <v>689</v>
      </c>
      <c r="I971" s="74">
        <v>150</v>
      </c>
      <c r="J971" s="74">
        <v>150</v>
      </c>
      <c r="K971" s="271">
        <f t="shared" si="161"/>
        <v>0</v>
      </c>
      <c r="L971" s="74">
        <v>560</v>
      </c>
      <c r="M971" s="74">
        <v>165</v>
      </c>
    </row>
    <row r="972" spans="1:13" s="276" customFormat="1" ht="30">
      <c r="A972" s="109" t="s">
        <v>1006</v>
      </c>
      <c r="B972" s="270" t="s">
        <v>31</v>
      </c>
      <c r="C972" s="100" t="s">
        <v>90</v>
      </c>
      <c r="D972" s="100" t="s">
        <v>223</v>
      </c>
      <c r="E972" s="100" t="s">
        <v>134</v>
      </c>
      <c r="F972" s="100" t="s">
        <v>147</v>
      </c>
      <c r="G972" s="100" t="s">
        <v>1004</v>
      </c>
      <c r="H972" s="99"/>
      <c r="I972" s="74">
        <f>I973</f>
        <v>67806</v>
      </c>
      <c r="J972" s="74">
        <f>J973</f>
        <v>57187.3</v>
      </c>
      <c r="K972" s="271">
        <f t="shared" si="161"/>
        <v>-10618.699999999997</v>
      </c>
      <c r="L972" s="74">
        <f>L973</f>
        <v>112907</v>
      </c>
      <c r="M972" s="74">
        <f>M973</f>
        <v>167449.5</v>
      </c>
    </row>
    <row r="973" spans="1:13" s="276" customFormat="1" ht="30">
      <c r="A973" s="111" t="s">
        <v>688</v>
      </c>
      <c r="B973" s="270" t="s">
        <v>31</v>
      </c>
      <c r="C973" s="100" t="s">
        <v>90</v>
      </c>
      <c r="D973" s="100" t="s">
        <v>223</v>
      </c>
      <c r="E973" s="100" t="s">
        <v>134</v>
      </c>
      <c r="F973" s="100" t="s">
        <v>147</v>
      </c>
      <c r="G973" s="100" t="s">
        <v>1004</v>
      </c>
      <c r="H973" s="99" t="s">
        <v>689</v>
      </c>
      <c r="I973" s="74">
        <v>67806</v>
      </c>
      <c r="J973" s="74">
        <f>67806-2901.7-2916-4801</f>
        <v>57187.3</v>
      </c>
      <c r="K973" s="271">
        <f t="shared" si="161"/>
        <v>-10618.699999999997</v>
      </c>
      <c r="L973" s="74">
        <v>112907</v>
      </c>
      <c r="M973" s="74">
        <f>163875+3574.5</f>
        <v>167449.5</v>
      </c>
    </row>
    <row r="974" spans="1:13" s="276" customFormat="1" ht="28.5">
      <c r="A974" s="127" t="s">
        <v>799</v>
      </c>
      <c r="B974" s="266">
        <v>119</v>
      </c>
      <c r="C974" s="95" t="s">
        <v>90</v>
      </c>
      <c r="D974" s="95" t="s">
        <v>223</v>
      </c>
      <c r="E974" s="95" t="s">
        <v>134</v>
      </c>
      <c r="F974" s="95" t="s">
        <v>160</v>
      </c>
      <c r="G974" s="95" t="s">
        <v>150</v>
      </c>
      <c r="H974" s="67"/>
      <c r="I974" s="36">
        <f>I975+I977+I979+I981+I983+I985</f>
        <v>4692.1</v>
      </c>
      <c r="J974" s="36">
        <f>J975+J977+J979+J981+J983+J985</f>
        <v>5395.8</v>
      </c>
      <c r="K974" s="267">
        <f>J974-I974</f>
        <v>703.6999999999998</v>
      </c>
      <c r="L974" s="36">
        <f>L975+L977+L979+L981+L983+L985</f>
        <v>6252.8</v>
      </c>
      <c r="M974" s="36">
        <f>M975+M977+M979+M981+M983+M985</f>
        <v>5842.3</v>
      </c>
    </row>
    <row r="975" spans="1:13" s="276" customFormat="1" ht="30">
      <c r="A975" s="109" t="s">
        <v>262</v>
      </c>
      <c r="B975" s="270" t="s">
        <v>31</v>
      </c>
      <c r="C975" s="100" t="s">
        <v>90</v>
      </c>
      <c r="D975" s="99" t="s">
        <v>223</v>
      </c>
      <c r="E975" s="99" t="s">
        <v>134</v>
      </c>
      <c r="F975" s="99" t="s">
        <v>160</v>
      </c>
      <c r="G975" s="99" t="s">
        <v>871</v>
      </c>
      <c r="H975" s="99"/>
      <c r="I975" s="74">
        <f>I976</f>
        <v>2092</v>
      </c>
      <c r="J975" s="74">
        <f>J976</f>
        <v>2092</v>
      </c>
      <c r="K975" s="271">
        <f>J975-I975</f>
        <v>0</v>
      </c>
      <c r="L975" s="74">
        <f>L976</f>
        <v>2092</v>
      </c>
      <c r="M975" s="74">
        <f>M976</f>
        <v>2092</v>
      </c>
    </row>
    <row r="976" spans="1:13" s="276" customFormat="1" ht="30">
      <c r="A976" s="109" t="s">
        <v>688</v>
      </c>
      <c r="B976" s="270" t="s">
        <v>31</v>
      </c>
      <c r="C976" s="100" t="s">
        <v>90</v>
      </c>
      <c r="D976" s="99" t="s">
        <v>223</v>
      </c>
      <c r="E976" s="99" t="s">
        <v>134</v>
      </c>
      <c r="F976" s="99" t="s">
        <v>160</v>
      </c>
      <c r="G976" s="99" t="s">
        <v>871</v>
      </c>
      <c r="H976" s="99" t="s">
        <v>689</v>
      </c>
      <c r="I976" s="74">
        <f>209.2+1882.8-209.2+209.2</f>
        <v>2092</v>
      </c>
      <c r="J976" s="74">
        <f>209.2+1882.8-209.2+209.2</f>
        <v>2092</v>
      </c>
      <c r="K976" s="271">
        <f aca="true" t="shared" si="163" ref="K976:K986">J976-I976</f>
        <v>0</v>
      </c>
      <c r="L976" s="74">
        <f>209.2+1882.8-209.2+209.2</f>
        <v>2092</v>
      </c>
      <c r="M976" s="74">
        <f>209.2+1882.8-209.2+209.2</f>
        <v>2092</v>
      </c>
    </row>
    <row r="977" spans="1:13" s="276" customFormat="1" ht="15">
      <c r="A977" s="289" t="s">
        <v>235</v>
      </c>
      <c r="B977" s="270" t="s">
        <v>31</v>
      </c>
      <c r="C977" s="100" t="s">
        <v>90</v>
      </c>
      <c r="D977" s="100" t="s">
        <v>223</v>
      </c>
      <c r="E977" s="100" t="s">
        <v>134</v>
      </c>
      <c r="F977" s="99" t="s">
        <v>160</v>
      </c>
      <c r="G977" s="100" t="s">
        <v>202</v>
      </c>
      <c r="H977" s="99"/>
      <c r="I977" s="74">
        <f>I978</f>
        <v>549.8</v>
      </c>
      <c r="J977" s="74">
        <f>J978</f>
        <v>549.8</v>
      </c>
      <c r="K977" s="271">
        <f t="shared" si="163"/>
        <v>0</v>
      </c>
      <c r="L977" s="74">
        <f>L978</f>
        <v>2300</v>
      </c>
      <c r="M977" s="74">
        <f>M978</f>
        <v>2899.5</v>
      </c>
    </row>
    <row r="978" spans="1:13" s="276" customFormat="1" ht="30">
      <c r="A978" s="109" t="s">
        <v>688</v>
      </c>
      <c r="B978" s="270" t="s">
        <v>31</v>
      </c>
      <c r="C978" s="100" t="s">
        <v>90</v>
      </c>
      <c r="D978" s="100" t="s">
        <v>223</v>
      </c>
      <c r="E978" s="100" t="s">
        <v>134</v>
      </c>
      <c r="F978" s="99" t="s">
        <v>160</v>
      </c>
      <c r="G978" s="100" t="s">
        <v>202</v>
      </c>
      <c r="H978" s="99" t="s">
        <v>689</v>
      </c>
      <c r="I978" s="74">
        <v>549.8</v>
      </c>
      <c r="J978" s="74">
        <v>549.8</v>
      </c>
      <c r="K978" s="271">
        <f t="shared" si="163"/>
        <v>0</v>
      </c>
      <c r="L978" s="74">
        <v>2300</v>
      </c>
      <c r="M978" s="74">
        <f>4500-1600.5</f>
        <v>2899.5</v>
      </c>
    </row>
    <row r="979" spans="1:13" s="276" customFormat="1" ht="30">
      <c r="A979" s="111" t="s">
        <v>264</v>
      </c>
      <c r="B979" s="270" t="s">
        <v>31</v>
      </c>
      <c r="C979" s="100" t="s">
        <v>90</v>
      </c>
      <c r="D979" s="100" t="s">
        <v>223</v>
      </c>
      <c r="E979" s="100" t="s">
        <v>134</v>
      </c>
      <c r="F979" s="99" t="s">
        <v>160</v>
      </c>
      <c r="G979" s="100" t="s">
        <v>265</v>
      </c>
      <c r="H979" s="99"/>
      <c r="I979" s="74">
        <f>I980</f>
        <v>594.3</v>
      </c>
      <c r="J979" s="74">
        <f>J980</f>
        <v>1298</v>
      </c>
      <c r="K979" s="271">
        <f t="shared" si="163"/>
        <v>703.7</v>
      </c>
      <c r="L979" s="74">
        <f>L980</f>
        <v>855</v>
      </c>
      <c r="M979" s="74">
        <f>M980</f>
        <v>530</v>
      </c>
    </row>
    <row r="980" spans="1:13" s="276" customFormat="1" ht="30">
      <c r="A980" s="109" t="s">
        <v>688</v>
      </c>
      <c r="B980" s="270" t="s">
        <v>31</v>
      </c>
      <c r="C980" s="100" t="s">
        <v>90</v>
      </c>
      <c r="D980" s="100" t="s">
        <v>223</v>
      </c>
      <c r="E980" s="100" t="s">
        <v>134</v>
      </c>
      <c r="F980" s="99" t="s">
        <v>160</v>
      </c>
      <c r="G980" s="100" t="s">
        <v>265</v>
      </c>
      <c r="H980" s="99" t="s">
        <v>689</v>
      </c>
      <c r="I980" s="74">
        <f>372.3+14.3+207.7</f>
        <v>594.3</v>
      </c>
      <c r="J980" s="74">
        <f>372.3+14.3+207.7+192.3+611.4-100</f>
        <v>1298</v>
      </c>
      <c r="K980" s="271">
        <f t="shared" si="163"/>
        <v>703.7</v>
      </c>
      <c r="L980" s="74">
        <v>855</v>
      </c>
      <c r="M980" s="74">
        <v>530</v>
      </c>
    </row>
    <row r="981" spans="1:13" s="276" customFormat="1" ht="15">
      <c r="A981" s="102" t="s">
        <v>925</v>
      </c>
      <c r="B981" s="270" t="s">
        <v>31</v>
      </c>
      <c r="C981" s="100" t="s">
        <v>90</v>
      </c>
      <c r="D981" s="100" t="s">
        <v>223</v>
      </c>
      <c r="E981" s="100" t="s">
        <v>134</v>
      </c>
      <c r="F981" s="99" t="s">
        <v>160</v>
      </c>
      <c r="G981" s="100" t="s">
        <v>238</v>
      </c>
      <c r="H981" s="99"/>
      <c r="I981" s="74">
        <f>I982</f>
        <v>771.8</v>
      </c>
      <c r="J981" s="74">
        <f>J982</f>
        <v>771.8</v>
      </c>
      <c r="K981" s="271">
        <f t="shared" si="163"/>
        <v>0</v>
      </c>
      <c r="L981" s="74">
        <f>L982</f>
        <v>1005.8</v>
      </c>
      <c r="M981" s="74">
        <f>M982</f>
        <v>320.8</v>
      </c>
    </row>
    <row r="982" spans="1:13" s="276" customFormat="1" ht="30">
      <c r="A982" s="109" t="s">
        <v>688</v>
      </c>
      <c r="B982" s="270" t="s">
        <v>31</v>
      </c>
      <c r="C982" s="100" t="s">
        <v>90</v>
      </c>
      <c r="D982" s="100" t="s">
        <v>223</v>
      </c>
      <c r="E982" s="100" t="s">
        <v>134</v>
      </c>
      <c r="F982" s="99" t="s">
        <v>160</v>
      </c>
      <c r="G982" s="100" t="s">
        <v>238</v>
      </c>
      <c r="H982" s="99" t="s">
        <v>689</v>
      </c>
      <c r="I982" s="74">
        <f>400+279.4+92.4</f>
        <v>771.8</v>
      </c>
      <c r="J982" s="74">
        <f>400+279.4+92.4</f>
        <v>771.8</v>
      </c>
      <c r="K982" s="271">
        <f t="shared" si="163"/>
        <v>0</v>
      </c>
      <c r="L982" s="74">
        <v>1005.8</v>
      </c>
      <c r="M982" s="74">
        <v>320.8</v>
      </c>
    </row>
    <row r="983" spans="1:13" s="276" customFormat="1" ht="30" hidden="1">
      <c r="A983" s="109" t="s">
        <v>743</v>
      </c>
      <c r="B983" s="270" t="s">
        <v>31</v>
      </c>
      <c r="C983" s="100" t="s">
        <v>90</v>
      </c>
      <c r="D983" s="100" t="s">
        <v>223</v>
      </c>
      <c r="E983" s="100" t="s">
        <v>134</v>
      </c>
      <c r="F983" s="99" t="s">
        <v>160</v>
      </c>
      <c r="G983" s="100" t="s">
        <v>742</v>
      </c>
      <c r="H983" s="99"/>
      <c r="I983" s="74"/>
      <c r="J983" s="74">
        <f>J984</f>
        <v>0</v>
      </c>
      <c r="K983" s="271">
        <f t="shared" si="163"/>
        <v>0</v>
      </c>
      <c r="L983" s="74">
        <f>L984</f>
        <v>0</v>
      </c>
      <c r="M983" s="74">
        <f>M984</f>
        <v>0</v>
      </c>
    </row>
    <row r="984" spans="1:13" s="276" customFormat="1" ht="22.5" customHeight="1" hidden="1">
      <c r="A984" s="109" t="s">
        <v>688</v>
      </c>
      <c r="B984" s="270" t="s">
        <v>31</v>
      </c>
      <c r="C984" s="100" t="s">
        <v>90</v>
      </c>
      <c r="D984" s="100" t="s">
        <v>223</v>
      </c>
      <c r="E984" s="100" t="s">
        <v>134</v>
      </c>
      <c r="F984" s="99" t="s">
        <v>160</v>
      </c>
      <c r="G984" s="100" t="s">
        <v>742</v>
      </c>
      <c r="H984" s="99" t="s">
        <v>689</v>
      </c>
      <c r="I984" s="74"/>
      <c r="J984" s="74"/>
      <c r="K984" s="271">
        <f t="shared" si="163"/>
        <v>0</v>
      </c>
      <c r="L984" s="74"/>
      <c r="M984" s="74"/>
    </row>
    <row r="985" spans="1:13" s="276" customFormat="1" ht="30">
      <c r="A985" s="109" t="s">
        <v>1031</v>
      </c>
      <c r="B985" s="270" t="s">
        <v>31</v>
      </c>
      <c r="C985" s="100" t="s">
        <v>90</v>
      </c>
      <c r="D985" s="100" t="s">
        <v>223</v>
      </c>
      <c r="E985" s="100" t="s">
        <v>134</v>
      </c>
      <c r="F985" s="99" t="s">
        <v>160</v>
      </c>
      <c r="G985" s="100" t="s">
        <v>1030</v>
      </c>
      <c r="H985" s="99"/>
      <c r="I985" s="74">
        <f>I986</f>
        <v>684.2</v>
      </c>
      <c r="J985" s="74">
        <f>J986</f>
        <v>684.2</v>
      </c>
      <c r="K985" s="271">
        <f t="shared" si="163"/>
        <v>0</v>
      </c>
      <c r="L985" s="74">
        <f>L986</f>
        <v>0</v>
      </c>
      <c r="M985" s="74">
        <f>M986</f>
        <v>0</v>
      </c>
    </row>
    <row r="986" spans="1:13" s="276" customFormat="1" ht="30">
      <c r="A986" s="115" t="s">
        <v>688</v>
      </c>
      <c r="B986" s="270" t="s">
        <v>31</v>
      </c>
      <c r="C986" s="100" t="s">
        <v>90</v>
      </c>
      <c r="D986" s="100" t="s">
        <v>223</v>
      </c>
      <c r="E986" s="100" t="s">
        <v>134</v>
      </c>
      <c r="F986" s="99" t="s">
        <v>160</v>
      </c>
      <c r="G986" s="100" t="s">
        <v>1030</v>
      </c>
      <c r="H986" s="99" t="s">
        <v>689</v>
      </c>
      <c r="I986" s="119">
        <f>48.5+650-14.3</f>
        <v>684.2</v>
      </c>
      <c r="J986" s="119">
        <f>48.5+650-14.3</f>
        <v>684.2</v>
      </c>
      <c r="K986" s="271">
        <f t="shared" si="163"/>
        <v>0</v>
      </c>
      <c r="L986" s="74"/>
      <c r="M986" s="74"/>
    </row>
    <row r="987" spans="1:13" s="276" customFormat="1" ht="28.5">
      <c r="A987" s="127" t="s">
        <v>91</v>
      </c>
      <c r="B987" s="266" t="s">
        <v>31</v>
      </c>
      <c r="C987" s="95" t="s">
        <v>92</v>
      </c>
      <c r="D987" s="95"/>
      <c r="E987" s="95"/>
      <c r="F987" s="67"/>
      <c r="G987" s="95"/>
      <c r="H987" s="67"/>
      <c r="I987" s="36">
        <f aca="true" t="shared" si="164" ref="I987:M991">I988</f>
        <v>512</v>
      </c>
      <c r="J987" s="36">
        <f t="shared" si="164"/>
        <v>512</v>
      </c>
      <c r="K987" s="267">
        <f aca="true" t="shared" si="165" ref="K987:K1006">J987-I987</f>
        <v>0</v>
      </c>
      <c r="L987" s="36">
        <f t="shared" si="164"/>
        <v>480</v>
      </c>
      <c r="M987" s="36">
        <f t="shared" si="164"/>
        <v>480</v>
      </c>
    </row>
    <row r="988" spans="1:13" s="276" customFormat="1" ht="32.25" customHeight="1">
      <c r="A988" s="127" t="s">
        <v>222</v>
      </c>
      <c r="B988" s="266" t="s">
        <v>31</v>
      </c>
      <c r="C988" s="95" t="s">
        <v>92</v>
      </c>
      <c r="D988" s="95" t="s">
        <v>223</v>
      </c>
      <c r="E988" s="95" t="s">
        <v>148</v>
      </c>
      <c r="F988" s="67" t="s">
        <v>149</v>
      </c>
      <c r="G988" s="95" t="s">
        <v>150</v>
      </c>
      <c r="H988" s="67"/>
      <c r="I988" s="36">
        <f t="shared" si="164"/>
        <v>512</v>
      </c>
      <c r="J988" s="36">
        <f t="shared" si="164"/>
        <v>512</v>
      </c>
      <c r="K988" s="267">
        <f t="shared" si="165"/>
        <v>0</v>
      </c>
      <c r="L988" s="36">
        <f t="shared" si="164"/>
        <v>480</v>
      </c>
      <c r="M988" s="36">
        <f t="shared" si="164"/>
        <v>480</v>
      </c>
    </row>
    <row r="989" spans="1:13" s="268" customFormat="1" ht="28.5">
      <c r="A989" s="127" t="s">
        <v>473</v>
      </c>
      <c r="B989" s="266" t="s">
        <v>31</v>
      </c>
      <c r="C989" s="95" t="s">
        <v>92</v>
      </c>
      <c r="D989" s="95" t="s">
        <v>223</v>
      </c>
      <c r="E989" s="95" t="s">
        <v>135</v>
      </c>
      <c r="F989" s="67" t="s">
        <v>149</v>
      </c>
      <c r="G989" s="95" t="s">
        <v>150</v>
      </c>
      <c r="H989" s="67"/>
      <c r="I989" s="36">
        <f t="shared" si="164"/>
        <v>512</v>
      </c>
      <c r="J989" s="36">
        <f t="shared" si="164"/>
        <v>512</v>
      </c>
      <c r="K989" s="267">
        <f t="shared" si="165"/>
        <v>0</v>
      </c>
      <c r="L989" s="36">
        <f t="shared" si="164"/>
        <v>480</v>
      </c>
      <c r="M989" s="36">
        <f t="shared" si="164"/>
        <v>480</v>
      </c>
    </row>
    <row r="990" spans="1:13" s="276" customFormat="1" ht="31.5" customHeight="1">
      <c r="A990" s="127" t="s">
        <v>267</v>
      </c>
      <c r="B990" s="266" t="s">
        <v>31</v>
      </c>
      <c r="C990" s="95" t="s">
        <v>92</v>
      </c>
      <c r="D990" s="95" t="s">
        <v>223</v>
      </c>
      <c r="E990" s="95" t="s">
        <v>135</v>
      </c>
      <c r="F990" s="67" t="s">
        <v>147</v>
      </c>
      <c r="G990" s="95" t="s">
        <v>150</v>
      </c>
      <c r="H990" s="67"/>
      <c r="I990" s="36">
        <f t="shared" si="164"/>
        <v>512</v>
      </c>
      <c r="J990" s="36">
        <f t="shared" si="164"/>
        <v>512</v>
      </c>
      <c r="K990" s="267">
        <f t="shared" si="165"/>
        <v>0</v>
      </c>
      <c r="L990" s="36">
        <f t="shared" si="164"/>
        <v>480</v>
      </c>
      <c r="M990" s="36">
        <f t="shared" si="164"/>
        <v>480</v>
      </c>
    </row>
    <row r="991" spans="1:13" s="276" customFormat="1" ht="30">
      <c r="A991" s="109" t="s">
        <v>269</v>
      </c>
      <c r="B991" s="270" t="s">
        <v>31</v>
      </c>
      <c r="C991" s="100" t="s">
        <v>92</v>
      </c>
      <c r="D991" s="100" t="s">
        <v>223</v>
      </c>
      <c r="E991" s="100" t="s">
        <v>135</v>
      </c>
      <c r="F991" s="99" t="s">
        <v>147</v>
      </c>
      <c r="G991" s="100" t="s">
        <v>878</v>
      </c>
      <c r="H991" s="99"/>
      <c r="I991" s="74">
        <f t="shared" si="164"/>
        <v>512</v>
      </c>
      <c r="J991" s="74">
        <f t="shared" si="164"/>
        <v>512</v>
      </c>
      <c r="K991" s="271">
        <f t="shared" si="165"/>
        <v>0</v>
      </c>
      <c r="L991" s="74">
        <f t="shared" si="164"/>
        <v>480</v>
      </c>
      <c r="M991" s="74">
        <f t="shared" si="164"/>
        <v>480</v>
      </c>
    </row>
    <row r="992" spans="1:13" s="276" customFormat="1" ht="30">
      <c r="A992" s="109" t="s">
        <v>688</v>
      </c>
      <c r="B992" s="270" t="s">
        <v>31</v>
      </c>
      <c r="C992" s="100" t="s">
        <v>92</v>
      </c>
      <c r="D992" s="100" t="s">
        <v>223</v>
      </c>
      <c r="E992" s="100" t="s">
        <v>135</v>
      </c>
      <c r="F992" s="99" t="s">
        <v>147</v>
      </c>
      <c r="G992" s="100" t="s">
        <v>878</v>
      </c>
      <c r="H992" s="99" t="s">
        <v>689</v>
      </c>
      <c r="I992" s="74">
        <f>80+432</f>
        <v>512</v>
      </c>
      <c r="J992" s="74">
        <f>80+432</f>
        <v>512</v>
      </c>
      <c r="K992" s="271">
        <f t="shared" si="165"/>
        <v>0</v>
      </c>
      <c r="L992" s="74">
        <f>48+432</f>
        <v>480</v>
      </c>
      <c r="M992" s="74">
        <f>48+432</f>
        <v>480</v>
      </c>
    </row>
    <row r="993" spans="1:13" ht="15">
      <c r="A993" s="127" t="s">
        <v>93</v>
      </c>
      <c r="B993" s="266">
        <v>119</v>
      </c>
      <c r="C993" s="95" t="s">
        <v>94</v>
      </c>
      <c r="D993" s="67"/>
      <c r="E993" s="67"/>
      <c r="F993" s="67"/>
      <c r="G993" s="67"/>
      <c r="H993" s="67"/>
      <c r="I993" s="36">
        <f aca="true" t="shared" si="166" ref="I993:M995">I994</f>
        <v>8469.300000000001</v>
      </c>
      <c r="J993" s="36">
        <f t="shared" si="166"/>
        <v>7568.5</v>
      </c>
      <c r="K993" s="267">
        <f t="shared" si="165"/>
        <v>-900.8000000000011</v>
      </c>
      <c r="L993" s="36">
        <f t="shared" si="166"/>
        <v>10982.6</v>
      </c>
      <c r="M993" s="36">
        <f t="shared" si="166"/>
        <v>11147.600000000002</v>
      </c>
    </row>
    <row r="994" spans="1:13" ht="34.5" customHeight="1">
      <c r="A994" s="127" t="s">
        <v>222</v>
      </c>
      <c r="B994" s="266" t="s">
        <v>31</v>
      </c>
      <c r="C994" s="95" t="s">
        <v>94</v>
      </c>
      <c r="D994" s="95" t="s">
        <v>223</v>
      </c>
      <c r="E994" s="95" t="s">
        <v>148</v>
      </c>
      <c r="F994" s="95" t="s">
        <v>149</v>
      </c>
      <c r="G994" s="95" t="s">
        <v>150</v>
      </c>
      <c r="H994" s="67"/>
      <c r="I994" s="36">
        <f t="shared" si="166"/>
        <v>8469.300000000001</v>
      </c>
      <c r="J994" s="36">
        <f t="shared" si="166"/>
        <v>7568.5</v>
      </c>
      <c r="K994" s="267">
        <f t="shared" si="165"/>
        <v>-900.8000000000011</v>
      </c>
      <c r="L994" s="36">
        <f t="shared" si="166"/>
        <v>10982.6</v>
      </c>
      <c r="M994" s="36">
        <f t="shared" si="166"/>
        <v>11147.600000000002</v>
      </c>
    </row>
    <row r="995" spans="1:13" ht="33.75" customHeight="1">
      <c r="A995" s="127" t="s">
        <v>270</v>
      </c>
      <c r="B995" s="266" t="s">
        <v>31</v>
      </c>
      <c r="C995" s="95" t="s">
        <v>94</v>
      </c>
      <c r="D995" s="95" t="s">
        <v>223</v>
      </c>
      <c r="E995" s="95" t="s">
        <v>137</v>
      </c>
      <c r="F995" s="95" t="s">
        <v>149</v>
      </c>
      <c r="G995" s="95" t="s">
        <v>150</v>
      </c>
      <c r="H995" s="67"/>
      <c r="I995" s="36">
        <f t="shared" si="166"/>
        <v>8469.300000000001</v>
      </c>
      <c r="J995" s="36">
        <f t="shared" si="166"/>
        <v>7568.5</v>
      </c>
      <c r="K995" s="267">
        <f t="shared" si="165"/>
        <v>-900.8000000000011</v>
      </c>
      <c r="L995" s="36">
        <f t="shared" si="166"/>
        <v>10982.6</v>
      </c>
      <c r="M995" s="36">
        <f t="shared" si="166"/>
        <v>11147.600000000002</v>
      </c>
    </row>
    <row r="996" spans="1:13" s="268" customFormat="1" ht="28.5">
      <c r="A996" s="125" t="s">
        <v>271</v>
      </c>
      <c r="B996" s="266" t="s">
        <v>31</v>
      </c>
      <c r="C996" s="95" t="s">
        <v>94</v>
      </c>
      <c r="D996" s="95" t="s">
        <v>223</v>
      </c>
      <c r="E996" s="95" t="s">
        <v>137</v>
      </c>
      <c r="F996" s="95" t="s">
        <v>147</v>
      </c>
      <c r="G996" s="95" t="s">
        <v>150</v>
      </c>
      <c r="H996" s="67"/>
      <c r="I996" s="36">
        <f>I997+I999+I1001+I1003+I1005</f>
        <v>8469.300000000001</v>
      </c>
      <c r="J996" s="36">
        <f>J997+J999+J1001+J1003+J1005</f>
        <v>7568.5</v>
      </c>
      <c r="K996" s="267">
        <f t="shared" si="165"/>
        <v>-900.8000000000011</v>
      </c>
      <c r="L996" s="36">
        <f>L997+L999+L1001+L1003+L1005</f>
        <v>10982.6</v>
      </c>
      <c r="M996" s="36">
        <f>M997+M999+M1001+M1003+M1005</f>
        <v>11147.600000000002</v>
      </c>
    </row>
    <row r="997" spans="1:13" ht="30">
      <c r="A997" s="111" t="s">
        <v>272</v>
      </c>
      <c r="B997" s="270" t="s">
        <v>31</v>
      </c>
      <c r="C997" s="100" t="s">
        <v>94</v>
      </c>
      <c r="D997" s="99" t="s">
        <v>223</v>
      </c>
      <c r="E997" s="99" t="s">
        <v>137</v>
      </c>
      <c r="F997" s="99" t="s">
        <v>147</v>
      </c>
      <c r="G997" s="99" t="s">
        <v>273</v>
      </c>
      <c r="H997" s="99"/>
      <c r="I997" s="74">
        <f>I998</f>
        <v>0</v>
      </c>
      <c r="J997" s="74">
        <f>J998</f>
        <v>0</v>
      </c>
      <c r="K997" s="271">
        <f t="shared" si="165"/>
        <v>0</v>
      </c>
      <c r="L997" s="74">
        <f>L998</f>
        <v>2383.1000000000004</v>
      </c>
      <c r="M997" s="74">
        <f>M998</f>
        <v>2548.1000000000004</v>
      </c>
    </row>
    <row r="998" spans="1:13" ht="30">
      <c r="A998" s="109" t="s">
        <v>688</v>
      </c>
      <c r="B998" s="270" t="s">
        <v>31</v>
      </c>
      <c r="C998" s="100" t="s">
        <v>94</v>
      </c>
      <c r="D998" s="99" t="s">
        <v>223</v>
      </c>
      <c r="E998" s="99" t="s">
        <v>137</v>
      </c>
      <c r="F998" s="99" t="s">
        <v>147</v>
      </c>
      <c r="G998" s="99" t="s">
        <v>273</v>
      </c>
      <c r="H998" s="99" t="s">
        <v>689</v>
      </c>
      <c r="I998" s="74">
        <f>2500+59.3-2559.3</f>
        <v>0</v>
      </c>
      <c r="J998" s="74">
        <f>2500+59.3-2559.3</f>
        <v>0</v>
      </c>
      <c r="K998" s="271">
        <f t="shared" si="165"/>
        <v>0</v>
      </c>
      <c r="L998" s="74">
        <f>2323.8+59.3</f>
        <v>2383.1000000000004</v>
      </c>
      <c r="M998" s="74">
        <f>2488.8+59.3</f>
        <v>2548.1000000000004</v>
      </c>
    </row>
    <row r="999" spans="1:13" s="276" customFormat="1" ht="15">
      <c r="A999" s="111" t="s">
        <v>496</v>
      </c>
      <c r="B999" s="270" t="s">
        <v>31</v>
      </c>
      <c r="C999" s="100" t="s">
        <v>94</v>
      </c>
      <c r="D999" s="99" t="s">
        <v>223</v>
      </c>
      <c r="E999" s="99" t="s">
        <v>137</v>
      </c>
      <c r="F999" s="99" t="s">
        <v>147</v>
      </c>
      <c r="G999" s="99" t="s">
        <v>275</v>
      </c>
      <c r="H999" s="99"/>
      <c r="I999" s="74">
        <f>I1000</f>
        <v>1450</v>
      </c>
      <c r="J999" s="74">
        <f>J1000</f>
        <v>1250</v>
      </c>
      <c r="K999" s="271">
        <f t="shared" si="165"/>
        <v>-200</v>
      </c>
      <c r="L999" s="74">
        <f>L1000</f>
        <v>1300</v>
      </c>
      <c r="M999" s="74">
        <f>M1000</f>
        <v>1300</v>
      </c>
    </row>
    <row r="1000" spans="1:13" s="276" customFormat="1" ht="30">
      <c r="A1000" s="109" t="s">
        <v>688</v>
      </c>
      <c r="B1000" s="270" t="s">
        <v>31</v>
      </c>
      <c r="C1000" s="100" t="s">
        <v>94</v>
      </c>
      <c r="D1000" s="99" t="s">
        <v>223</v>
      </c>
      <c r="E1000" s="99" t="s">
        <v>137</v>
      </c>
      <c r="F1000" s="99" t="s">
        <v>147</v>
      </c>
      <c r="G1000" s="99" t="s">
        <v>275</v>
      </c>
      <c r="H1000" s="99" t="s">
        <v>689</v>
      </c>
      <c r="I1000" s="74">
        <v>1450</v>
      </c>
      <c r="J1000" s="74">
        <f>1450-200</f>
        <v>1250</v>
      </c>
      <c r="K1000" s="271">
        <f t="shared" si="165"/>
        <v>-200</v>
      </c>
      <c r="L1000" s="74">
        <v>1300</v>
      </c>
      <c r="M1000" s="74">
        <v>1300</v>
      </c>
    </row>
    <row r="1001" spans="1:13" s="276" customFormat="1" ht="15">
      <c r="A1001" s="111" t="s">
        <v>497</v>
      </c>
      <c r="B1001" s="270" t="s">
        <v>31</v>
      </c>
      <c r="C1001" s="100" t="s">
        <v>94</v>
      </c>
      <c r="D1001" s="99" t="s">
        <v>223</v>
      </c>
      <c r="E1001" s="99" t="s">
        <v>137</v>
      </c>
      <c r="F1001" s="99" t="s">
        <v>147</v>
      </c>
      <c r="G1001" s="99" t="s">
        <v>277</v>
      </c>
      <c r="H1001" s="99"/>
      <c r="I1001" s="74">
        <f>I1002</f>
        <v>0</v>
      </c>
      <c r="J1001" s="74">
        <f>J1002</f>
        <v>0</v>
      </c>
      <c r="K1001" s="271">
        <f t="shared" si="165"/>
        <v>0</v>
      </c>
      <c r="L1001" s="74">
        <f>L1002</f>
        <v>250</v>
      </c>
      <c r="M1001" s="74">
        <f>M1002</f>
        <v>250</v>
      </c>
    </row>
    <row r="1002" spans="1:13" s="276" customFormat="1" ht="30">
      <c r="A1002" s="109" t="s">
        <v>688</v>
      </c>
      <c r="B1002" s="270" t="s">
        <v>31</v>
      </c>
      <c r="C1002" s="100" t="s">
        <v>94</v>
      </c>
      <c r="D1002" s="99" t="s">
        <v>223</v>
      </c>
      <c r="E1002" s="99" t="s">
        <v>137</v>
      </c>
      <c r="F1002" s="99" t="s">
        <v>147</v>
      </c>
      <c r="G1002" s="99" t="s">
        <v>277</v>
      </c>
      <c r="H1002" s="99" t="s">
        <v>689</v>
      </c>
      <c r="I1002" s="74"/>
      <c r="J1002" s="74"/>
      <c r="K1002" s="271">
        <f t="shared" si="165"/>
        <v>0</v>
      </c>
      <c r="L1002" s="74">
        <v>250</v>
      </c>
      <c r="M1002" s="74">
        <v>250</v>
      </c>
    </row>
    <row r="1003" spans="1:13" ht="15">
      <c r="A1003" s="109" t="s">
        <v>498</v>
      </c>
      <c r="B1003" s="270" t="s">
        <v>31</v>
      </c>
      <c r="C1003" s="100" t="s">
        <v>94</v>
      </c>
      <c r="D1003" s="100" t="s">
        <v>223</v>
      </c>
      <c r="E1003" s="99" t="s">
        <v>137</v>
      </c>
      <c r="F1003" s="100" t="s">
        <v>147</v>
      </c>
      <c r="G1003" s="100" t="s">
        <v>876</v>
      </c>
      <c r="H1003" s="99"/>
      <c r="I1003" s="74">
        <f>I1004</f>
        <v>11.400000000000002</v>
      </c>
      <c r="J1003" s="74">
        <f>J1004</f>
        <v>11.400000000000002</v>
      </c>
      <c r="K1003" s="271">
        <f t="shared" si="165"/>
        <v>0</v>
      </c>
      <c r="L1003" s="74">
        <f>L1004</f>
        <v>41.6</v>
      </c>
      <c r="M1003" s="74">
        <f>M1004</f>
        <v>41.6</v>
      </c>
    </row>
    <row r="1004" spans="1:13" ht="30">
      <c r="A1004" s="109" t="s">
        <v>688</v>
      </c>
      <c r="B1004" s="270" t="s">
        <v>31</v>
      </c>
      <c r="C1004" s="100" t="s">
        <v>94</v>
      </c>
      <c r="D1004" s="100" t="s">
        <v>223</v>
      </c>
      <c r="E1004" s="99" t="s">
        <v>137</v>
      </c>
      <c r="F1004" s="100" t="s">
        <v>147</v>
      </c>
      <c r="G1004" s="100" t="s">
        <v>876</v>
      </c>
      <c r="H1004" s="99" t="s">
        <v>689</v>
      </c>
      <c r="I1004" s="74">
        <f>4.5+40.5-4.5+1.1-30.2</f>
        <v>11.400000000000002</v>
      </c>
      <c r="J1004" s="74">
        <f>4.5+40.5-4.5+1.1-30.2</f>
        <v>11.400000000000002</v>
      </c>
      <c r="K1004" s="271">
        <f t="shared" si="165"/>
        <v>0</v>
      </c>
      <c r="L1004" s="74">
        <f>4.5+40.5-4.5+1.1</f>
        <v>41.6</v>
      </c>
      <c r="M1004" s="74">
        <f>4.5+40.5-4.5+1.1</f>
        <v>41.6</v>
      </c>
    </row>
    <row r="1005" spans="1:13" ht="30">
      <c r="A1005" s="109" t="s">
        <v>710</v>
      </c>
      <c r="B1005" s="270">
        <v>119</v>
      </c>
      <c r="C1005" s="100" t="s">
        <v>94</v>
      </c>
      <c r="D1005" s="100" t="s">
        <v>223</v>
      </c>
      <c r="E1005" s="100" t="s">
        <v>137</v>
      </c>
      <c r="F1005" s="100" t="s">
        <v>147</v>
      </c>
      <c r="G1005" s="100" t="s">
        <v>877</v>
      </c>
      <c r="H1005" s="99"/>
      <c r="I1005" s="74">
        <f>I1006</f>
        <v>7007.900000000001</v>
      </c>
      <c r="J1005" s="74">
        <f>J1006</f>
        <v>6307.1</v>
      </c>
      <c r="K1005" s="271">
        <f t="shared" si="165"/>
        <v>-700.8000000000002</v>
      </c>
      <c r="L1005" s="74">
        <f>L1006</f>
        <v>7007.900000000001</v>
      </c>
      <c r="M1005" s="74">
        <f>M1006</f>
        <v>7007.900000000001</v>
      </c>
    </row>
    <row r="1006" spans="1:13" ht="30">
      <c r="A1006" s="109" t="s">
        <v>688</v>
      </c>
      <c r="B1006" s="270">
        <v>119</v>
      </c>
      <c r="C1006" s="100" t="s">
        <v>94</v>
      </c>
      <c r="D1006" s="100" t="s">
        <v>223</v>
      </c>
      <c r="E1006" s="100" t="s">
        <v>137</v>
      </c>
      <c r="F1006" s="100" t="s">
        <v>147</v>
      </c>
      <c r="G1006" s="100" t="s">
        <v>877</v>
      </c>
      <c r="H1006" s="99" t="s">
        <v>689</v>
      </c>
      <c r="I1006" s="74">
        <f>756.7+6307.1-756.7+700.8</f>
        <v>7007.900000000001</v>
      </c>
      <c r="J1006" s="74">
        <f>756.7+6307.1-756.7+700.8-700.8</f>
        <v>6307.1</v>
      </c>
      <c r="K1006" s="271">
        <f t="shared" si="165"/>
        <v>-700.8000000000002</v>
      </c>
      <c r="L1006" s="74">
        <f>756.7+6307.1-756.7+700.8</f>
        <v>7007.900000000001</v>
      </c>
      <c r="M1006" s="74">
        <f>756.7+6307.1-756.7+700.8</f>
        <v>7007.900000000001</v>
      </c>
    </row>
    <row r="1007" spans="1:13" ht="15">
      <c r="A1007" s="127" t="s">
        <v>95</v>
      </c>
      <c r="B1007" s="266" t="s">
        <v>31</v>
      </c>
      <c r="C1007" s="95" t="s">
        <v>96</v>
      </c>
      <c r="D1007" s="95"/>
      <c r="E1007" s="95"/>
      <c r="F1007" s="95"/>
      <c r="G1007" s="95"/>
      <c r="H1007" s="67"/>
      <c r="I1007" s="36">
        <f>I1008+I1040</f>
        <v>20189.4</v>
      </c>
      <c r="J1007" s="36">
        <f>J1008+J1040</f>
        <v>19969.4</v>
      </c>
      <c r="K1007" s="267">
        <f aca="true" t="shared" si="167" ref="K1007:K1023">J1007-I1007</f>
        <v>-220</v>
      </c>
      <c r="L1007" s="36">
        <f>L1008+L1040</f>
        <v>21227</v>
      </c>
      <c r="M1007" s="36">
        <f>M1008+M1040</f>
        <v>22057</v>
      </c>
    </row>
    <row r="1008" spans="1:13" ht="33" customHeight="1">
      <c r="A1008" s="127" t="s">
        <v>222</v>
      </c>
      <c r="B1008" s="266" t="s">
        <v>31</v>
      </c>
      <c r="C1008" s="95" t="s">
        <v>96</v>
      </c>
      <c r="D1008" s="95" t="s">
        <v>223</v>
      </c>
      <c r="E1008" s="95" t="s">
        <v>148</v>
      </c>
      <c r="F1008" s="95" t="s">
        <v>149</v>
      </c>
      <c r="G1008" s="95" t="s">
        <v>150</v>
      </c>
      <c r="H1008" s="67"/>
      <c r="I1008" s="36">
        <f>I1009+I1013+I1017+I1024+I1032</f>
        <v>576.4</v>
      </c>
      <c r="J1008" s="36">
        <f>J1009+J1013+J1017+J1024+J1032</f>
        <v>356.4</v>
      </c>
      <c r="K1008" s="267">
        <f t="shared" si="167"/>
        <v>-220</v>
      </c>
      <c r="L1008" s="36">
        <f>L1009+L1013+L1017+L1024+L1032</f>
        <v>842</v>
      </c>
      <c r="M1008" s="36">
        <f>M1009+M1013+M1017+M1024+M1032</f>
        <v>863</v>
      </c>
    </row>
    <row r="1009" spans="1:13" ht="42.75" hidden="1">
      <c r="A1009" s="127" t="s">
        <v>471</v>
      </c>
      <c r="B1009" s="266" t="s">
        <v>31</v>
      </c>
      <c r="C1009" s="95" t="s">
        <v>96</v>
      </c>
      <c r="D1009" s="67" t="s">
        <v>223</v>
      </c>
      <c r="E1009" s="67" t="s">
        <v>132</v>
      </c>
      <c r="F1009" s="67" t="s">
        <v>149</v>
      </c>
      <c r="G1009" s="67" t="s">
        <v>150</v>
      </c>
      <c r="H1009" s="67"/>
      <c r="I1009" s="36">
        <f aca="true" t="shared" si="168" ref="I1009:M1011">I1010</f>
        <v>0</v>
      </c>
      <c r="J1009" s="36">
        <f t="shared" si="168"/>
        <v>0</v>
      </c>
      <c r="K1009" s="267">
        <f t="shared" si="167"/>
        <v>0</v>
      </c>
      <c r="L1009" s="36">
        <f t="shared" si="168"/>
        <v>0</v>
      </c>
      <c r="M1009" s="36">
        <f t="shared" si="168"/>
        <v>0</v>
      </c>
    </row>
    <row r="1010" spans="1:13" s="276" customFormat="1" ht="28.5" hidden="1">
      <c r="A1010" s="127" t="s">
        <v>253</v>
      </c>
      <c r="B1010" s="266" t="s">
        <v>31</v>
      </c>
      <c r="C1010" s="95" t="s">
        <v>96</v>
      </c>
      <c r="D1010" s="67" t="s">
        <v>223</v>
      </c>
      <c r="E1010" s="67" t="s">
        <v>132</v>
      </c>
      <c r="F1010" s="67" t="s">
        <v>174</v>
      </c>
      <c r="G1010" s="67" t="s">
        <v>150</v>
      </c>
      <c r="H1010" s="67"/>
      <c r="I1010" s="36">
        <f t="shared" si="168"/>
        <v>0</v>
      </c>
      <c r="J1010" s="36">
        <f t="shared" si="168"/>
        <v>0</v>
      </c>
      <c r="K1010" s="267">
        <f t="shared" si="167"/>
        <v>0</v>
      </c>
      <c r="L1010" s="36">
        <f t="shared" si="168"/>
        <v>0</v>
      </c>
      <c r="M1010" s="36">
        <f t="shared" si="168"/>
        <v>0</v>
      </c>
    </row>
    <row r="1011" spans="1:13" ht="30" hidden="1">
      <c r="A1011" s="109" t="s">
        <v>248</v>
      </c>
      <c r="B1011" s="270" t="s">
        <v>31</v>
      </c>
      <c r="C1011" s="100" t="s">
        <v>96</v>
      </c>
      <c r="D1011" s="99" t="s">
        <v>223</v>
      </c>
      <c r="E1011" s="99" t="s">
        <v>132</v>
      </c>
      <c r="F1011" s="99" t="s">
        <v>174</v>
      </c>
      <c r="G1011" s="99" t="s">
        <v>249</v>
      </c>
      <c r="H1011" s="67"/>
      <c r="I1011" s="74">
        <f t="shared" si="168"/>
        <v>0</v>
      </c>
      <c r="J1011" s="74">
        <f t="shared" si="168"/>
        <v>0</v>
      </c>
      <c r="K1011" s="271">
        <f t="shared" si="167"/>
        <v>0</v>
      </c>
      <c r="L1011" s="74">
        <f t="shared" si="168"/>
        <v>0</v>
      </c>
      <c r="M1011" s="74">
        <f t="shared" si="168"/>
        <v>0</v>
      </c>
    </row>
    <row r="1012" spans="1:13" ht="30" hidden="1">
      <c r="A1012" s="109" t="s">
        <v>688</v>
      </c>
      <c r="B1012" s="270" t="s">
        <v>31</v>
      </c>
      <c r="C1012" s="100" t="s">
        <v>96</v>
      </c>
      <c r="D1012" s="99" t="s">
        <v>223</v>
      </c>
      <c r="E1012" s="99" t="s">
        <v>132</v>
      </c>
      <c r="F1012" s="99" t="s">
        <v>174</v>
      </c>
      <c r="G1012" s="99" t="s">
        <v>249</v>
      </c>
      <c r="H1012" s="99" t="s">
        <v>689</v>
      </c>
      <c r="I1012" s="74"/>
      <c r="J1012" s="74"/>
      <c r="K1012" s="271">
        <f t="shared" si="167"/>
        <v>0</v>
      </c>
      <c r="L1012" s="74"/>
      <c r="M1012" s="74"/>
    </row>
    <row r="1013" spans="1:13" ht="28.5" hidden="1">
      <c r="A1013" s="127" t="s">
        <v>472</v>
      </c>
      <c r="B1013" s="266" t="s">
        <v>31</v>
      </c>
      <c r="C1013" s="95" t="s">
        <v>96</v>
      </c>
      <c r="D1013" s="67" t="s">
        <v>223</v>
      </c>
      <c r="E1013" s="67" t="s">
        <v>134</v>
      </c>
      <c r="F1013" s="67" t="s">
        <v>149</v>
      </c>
      <c r="G1013" s="67" t="s">
        <v>150</v>
      </c>
      <c r="H1013" s="67"/>
      <c r="I1013" s="36">
        <f aca="true" t="shared" si="169" ref="I1013:M1015">I1014</f>
        <v>0</v>
      </c>
      <c r="J1013" s="36">
        <f t="shared" si="169"/>
        <v>0</v>
      </c>
      <c r="K1013" s="267">
        <f t="shared" si="167"/>
        <v>0</v>
      </c>
      <c r="L1013" s="36">
        <f t="shared" si="169"/>
        <v>0</v>
      </c>
      <c r="M1013" s="36">
        <f t="shared" si="169"/>
        <v>0</v>
      </c>
    </row>
    <row r="1014" spans="1:13" s="276" customFormat="1" ht="28.5" hidden="1">
      <c r="A1014" s="127" t="s">
        <v>799</v>
      </c>
      <c r="B1014" s="266" t="s">
        <v>31</v>
      </c>
      <c r="C1014" s="95" t="s">
        <v>96</v>
      </c>
      <c r="D1014" s="67" t="s">
        <v>223</v>
      </c>
      <c r="E1014" s="67" t="s">
        <v>134</v>
      </c>
      <c r="F1014" s="67" t="s">
        <v>160</v>
      </c>
      <c r="G1014" s="67" t="s">
        <v>150</v>
      </c>
      <c r="H1014" s="67"/>
      <c r="I1014" s="36">
        <f t="shared" si="169"/>
        <v>0</v>
      </c>
      <c r="J1014" s="36">
        <f t="shared" si="169"/>
        <v>0</v>
      </c>
      <c r="K1014" s="267">
        <f t="shared" si="167"/>
        <v>0</v>
      </c>
      <c r="L1014" s="36">
        <f t="shared" si="169"/>
        <v>0</v>
      </c>
      <c r="M1014" s="36">
        <f t="shared" si="169"/>
        <v>0</v>
      </c>
    </row>
    <row r="1015" spans="1:13" s="268" customFormat="1" ht="30" hidden="1">
      <c r="A1015" s="109" t="s">
        <v>262</v>
      </c>
      <c r="B1015" s="270" t="s">
        <v>31</v>
      </c>
      <c r="C1015" s="100" t="s">
        <v>96</v>
      </c>
      <c r="D1015" s="99" t="s">
        <v>223</v>
      </c>
      <c r="E1015" s="99" t="s">
        <v>134</v>
      </c>
      <c r="F1015" s="99" t="s">
        <v>160</v>
      </c>
      <c r="G1015" s="99" t="s">
        <v>263</v>
      </c>
      <c r="H1015" s="67"/>
      <c r="I1015" s="74">
        <f t="shared" si="169"/>
        <v>0</v>
      </c>
      <c r="J1015" s="74">
        <f t="shared" si="169"/>
        <v>0</v>
      </c>
      <c r="K1015" s="271">
        <f t="shared" si="167"/>
        <v>0</v>
      </c>
      <c r="L1015" s="74">
        <f t="shared" si="169"/>
        <v>0</v>
      </c>
      <c r="M1015" s="74">
        <f t="shared" si="169"/>
        <v>0</v>
      </c>
    </row>
    <row r="1016" spans="1:13" ht="30" hidden="1">
      <c r="A1016" s="109" t="s">
        <v>688</v>
      </c>
      <c r="B1016" s="270" t="s">
        <v>31</v>
      </c>
      <c r="C1016" s="100" t="s">
        <v>96</v>
      </c>
      <c r="D1016" s="99" t="s">
        <v>223</v>
      </c>
      <c r="E1016" s="99" t="s">
        <v>134</v>
      </c>
      <c r="F1016" s="99" t="s">
        <v>160</v>
      </c>
      <c r="G1016" s="99" t="s">
        <v>263</v>
      </c>
      <c r="H1016" s="99" t="s">
        <v>689</v>
      </c>
      <c r="I1016" s="275"/>
      <c r="J1016" s="275"/>
      <c r="K1016" s="271">
        <f t="shared" si="167"/>
        <v>0</v>
      </c>
      <c r="L1016" s="74"/>
      <c r="M1016" s="74"/>
    </row>
    <row r="1017" spans="1:13" ht="28.5">
      <c r="A1017" s="124" t="s">
        <v>266</v>
      </c>
      <c r="B1017" s="266" t="s">
        <v>31</v>
      </c>
      <c r="C1017" s="95" t="s">
        <v>96</v>
      </c>
      <c r="D1017" s="67" t="s">
        <v>223</v>
      </c>
      <c r="E1017" s="67" t="s">
        <v>135</v>
      </c>
      <c r="F1017" s="67" t="s">
        <v>149</v>
      </c>
      <c r="G1017" s="67" t="s">
        <v>150</v>
      </c>
      <c r="H1017" s="67"/>
      <c r="I1017" s="36">
        <f>I1018</f>
        <v>290</v>
      </c>
      <c r="J1017" s="36">
        <f>J1018</f>
        <v>270</v>
      </c>
      <c r="K1017" s="267">
        <f t="shared" si="167"/>
        <v>-20</v>
      </c>
      <c r="L1017" s="36">
        <f>L1018</f>
        <v>332</v>
      </c>
      <c r="M1017" s="36">
        <f>M1018</f>
        <v>342</v>
      </c>
    </row>
    <row r="1018" spans="1:13" s="276" customFormat="1" ht="31.5" customHeight="1">
      <c r="A1018" s="125" t="s">
        <v>267</v>
      </c>
      <c r="B1018" s="266" t="s">
        <v>31</v>
      </c>
      <c r="C1018" s="95" t="s">
        <v>96</v>
      </c>
      <c r="D1018" s="67" t="s">
        <v>223</v>
      </c>
      <c r="E1018" s="67" t="s">
        <v>135</v>
      </c>
      <c r="F1018" s="67" t="s">
        <v>147</v>
      </c>
      <c r="G1018" s="67" t="s">
        <v>150</v>
      </c>
      <c r="H1018" s="67"/>
      <c r="I1018" s="36">
        <f>I1019+I1022</f>
        <v>290</v>
      </c>
      <c r="J1018" s="36">
        <f>J1019+J1022</f>
        <v>270</v>
      </c>
      <c r="K1018" s="267">
        <f t="shared" si="167"/>
        <v>-20</v>
      </c>
      <c r="L1018" s="36">
        <f>L1019+L1022</f>
        <v>332</v>
      </c>
      <c r="M1018" s="36">
        <f>M1019+M1022</f>
        <v>342</v>
      </c>
    </row>
    <row r="1019" spans="1:13" ht="15">
      <c r="A1019" s="111" t="s">
        <v>926</v>
      </c>
      <c r="B1019" s="270" t="s">
        <v>31</v>
      </c>
      <c r="C1019" s="100" t="s">
        <v>96</v>
      </c>
      <c r="D1019" s="99" t="s">
        <v>223</v>
      </c>
      <c r="E1019" s="99" t="s">
        <v>135</v>
      </c>
      <c r="F1019" s="99" t="s">
        <v>147</v>
      </c>
      <c r="G1019" s="99" t="s">
        <v>268</v>
      </c>
      <c r="H1019" s="99"/>
      <c r="I1019" s="74">
        <f>I1020+I1021</f>
        <v>170</v>
      </c>
      <c r="J1019" s="74">
        <f>J1020+J1021</f>
        <v>150</v>
      </c>
      <c r="K1019" s="271">
        <f t="shared" si="167"/>
        <v>-20</v>
      </c>
      <c r="L1019" s="74">
        <f>L1020+L1021</f>
        <v>212</v>
      </c>
      <c r="M1019" s="74">
        <f>M1020+M1021</f>
        <v>217</v>
      </c>
    </row>
    <row r="1020" spans="1:13" ht="30">
      <c r="A1020" s="109" t="s">
        <v>683</v>
      </c>
      <c r="B1020" s="270" t="s">
        <v>31</v>
      </c>
      <c r="C1020" s="100" t="s">
        <v>96</v>
      </c>
      <c r="D1020" s="99" t="s">
        <v>223</v>
      </c>
      <c r="E1020" s="99" t="s">
        <v>135</v>
      </c>
      <c r="F1020" s="99" t="s">
        <v>147</v>
      </c>
      <c r="G1020" s="99" t="s">
        <v>268</v>
      </c>
      <c r="H1020" s="99" t="s">
        <v>682</v>
      </c>
      <c r="I1020" s="74">
        <v>70</v>
      </c>
      <c r="J1020" s="74">
        <f>70-20</f>
        <v>50</v>
      </c>
      <c r="K1020" s="271">
        <f t="shared" si="167"/>
        <v>-20</v>
      </c>
      <c r="L1020" s="74">
        <v>105</v>
      </c>
      <c r="M1020" s="74">
        <v>110</v>
      </c>
    </row>
    <row r="1021" spans="1:13" ht="30">
      <c r="A1021" s="109" t="s">
        <v>688</v>
      </c>
      <c r="B1021" s="270" t="s">
        <v>31</v>
      </c>
      <c r="C1021" s="100" t="s">
        <v>96</v>
      </c>
      <c r="D1021" s="99" t="s">
        <v>223</v>
      </c>
      <c r="E1021" s="99" t="s">
        <v>135</v>
      </c>
      <c r="F1021" s="99" t="s">
        <v>147</v>
      </c>
      <c r="G1021" s="99" t="s">
        <v>268</v>
      </c>
      <c r="H1021" s="99" t="s">
        <v>689</v>
      </c>
      <c r="I1021" s="74">
        <v>100</v>
      </c>
      <c r="J1021" s="74">
        <v>100</v>
      </c>
      <c r="K1021" s="271">
        <f t="shared" si="167"/>
        <v>0</v>
      </c>
      <c r="L1021" s="74">
        <v>107</v>
      </c>
      <c r="M1021" s="74">
        <v>107</v>
      </c>
    </row>
    <row r="1022" spans="1:13" ht="30">
      <c r="A1022" s="22" t="s">
        <v>770</v>
      </c>
      <c r="B1022" s="270">
        <v>119</v>
      </c>
      <c r="C1022" s="100" t="s">
        <v>96</v>
      </c>
      <c r="D1022" s="99" t="s">
        <v>223</v>
      </c>
      <c r="E1022" s="99" t="s">
        <v>135</v>
      </c>
      <c r="F1022" s="99" t="s">
        <v>147</v>
      </c>
      <c r="G1022" s="99" t="s">
        <v>812</v>
      </c>
      <c r="H1022" s="99"/>
      <c r="I1022" s="74">
        <f>I1023</f>
        <v>120</v>
      </c>
      <c r="J1022" s="74">
        <f>J1023</f>
        <v>120</v>
      </c>
      <c r="K1022" s="271">
        <f t="shared" si="167"/>
        <v>0</v>
      </c>
      <c r="L1022" s="74">
        <f>L1023</f>
        <v>120</v>
      </c>
      <c r="M1022" s="74">
        <f>M1023</f>
        <v>125</v>
      </c>
    </row>
    <row r="1023" spans="1:13" ht="30">
      <c r="A1023" s="109" t="s">
        <v>688</v>
      </c>
      <c r="B1023" s="270">
        <v>119</v>
      </c>
      <c r="C1023" s="100" t="s">
        <v>96</v>
      </c>
      <c r="D1023" s="99" t="s">
        <v>223</v>
      </c>
      <c r="E1023" s="99" t="s">
        <v>135</v>
      </c>
      <c r="F1023" s="99" t="s">
        <v>147</v>
      </c>
      <c r="G1023" s="99" t="s">
        <v>812</v>
      </c>
      <c r="H1023" s="99" t="s">
        <v>689</v>
      </c>
      <c r="I1023" s="74">
        <v>120</v>
      </c>
      <c r="J1023" s="74">
        <v>120</v>
      </c>
      <c r="K1023" s="271">
        <f t="shared" si="167"/>
        <v>0</v>
      </c>
      <c r="L1023" s="74">
        <v>120</v>
      </c>
      <c r="M1023" s="74">
        <v>125</v>
      </c>
    </row>
    <row r="1024" spans="1:13" ht="42.75" hidden="1">
      <c r="A1024" s="124" t="s">
        <v>270</v>
      </c>
      <c r="B1024" s="266" t="s">
        <v>31</v>
      </c>
      <c r="C1024" s="95" t="s">
        <v>96</v>
      </c>
      <c r="D1024" s="67" t="s">
        <v>223</v>
      </c>
      <c r="E1024" s="67" t="s">
        <v>137</v>
      </c>
      <c r="F1024" s="67" t="s">
        <v>149</v>
      </c>
      <c r="G1024" s="67" t="s">
        <v>150</v>
      </c>
      <c r="H1024" s="67"/>
      <c r="I1024" s="36"/>
      <c r="J1024" s="36">
        <f>J1025</f>
        <v>0</v>
      </c>
      <c r="K1024" s="267">
        <f aca="true" t="shared" si="170" ref="K1024:K1039">J1024-I1024</f>
        <v>0</v>
      </c>
      <c r="L1024" s="36">
        <f>L1025</f>
        <v>0</v>
      </c>
      <c r="M1024" s="36">
        <f>M1025</f>
        <v>0</v>
      </c>
    </row>
    <row r="1025" spans="1:13" s="268" customFormat="1" ht="28.5" hidden="1">
      <c r="A1025" s="125" t="s">
        <v>271</v>
      </c>
      <c r="B1025" s="266" t="s">
        <v>31</v>
      </c>
      <c r="C1025" s="95" t="s">
        <v>96</v>
      </c>
      <c r="D1025" s="67" t="s">
        <v>223</v>
      </c>
      <c r="E1025" s="67" t="s">
        <v>137</v>
      </c>
      <c r="F1025" s="67" t="s">
        <v>147</v>
      </c>
      <c r="G1025" s="67" t="s">
        <v>150</v>
      </c>
      <c r="H1025" s="67"/>
      <c r="I1025" s="36"/>
      <c r="J1025" s="36">
        <f>J1026+J1028+J1030</f>
        <v>0</v>
      </c>
      <c r="K1025" s="267">
        <f t="shared" si="170"/>
        <v>0</v>
      </c>
      <c r="L1025" s="36">
        <f>L1026+L1028+L1030</f>
        <v>0</v>
      </c>
      <c r="M1025" s="36">
        <f>M1026+M1028+M1030</f>
        <v>0</v>
      </c>
    </row>
    <row r="1026" spans="1:13" ht="30" hidden="1">
      <c r="A1026" s="111" t="s">
        <v>272</v>
      </c>
      <c r="B1026" s="270" t="s">
        <v>31</v>
      </c>
      <c r="C1026" s="100" t="s">
        <v>96</v>
      </c>
      <c r="D1026" s="99" t="s">
        <v>223</v>
      </c>
      <c r="E1026" s="99" t="s">
        <v>137</v>
      </c>
      <c r="F1026" s="99" t="s">
        <v>147</v>
      </c>
      <c r="G1026" s="99" t="s">
        <v>273</v>
      </c>
      <c r="H1026" s="99"/>
      <c r="I1026" s="74"/>
      <c r="J1026" s="74">
        <f>J1027</f>
        <v>0</v>
      </c>
      <c r="K1026" s="271">
        <f t="shared" si="170"/>
        <v>0</v>
      </c>
      <c r="L1026" s="74">
        <f>L1027</f>
        <v>0</v>
      </c>
      <c r="M1026" s="74">
        <f>M1027</f>
        <v>0</v>
      </c>
    </row>
    <row r="1027" spans="1:13" ht="30" hidden="1">
      <c r="A1027" s="109" t="s">
        <v>688</v>
      </c>
      <c r="B1027" s="270" t="s">
        <v>31</v>
      </c>
      <c r="C1027" s="100" t="s">
        <v>96</v>
      </c>
      <c r="D1027" s="99" t="s">
        <v>223</v>
      </c>
      <c r="E1027" s="99" t="s">
        <v>137</v>
      </c>
      <c r="F1027" s="99" t="s">
        <v>147</v>
      </c>
      <c r="G1027" s="99" t="s">
        <v>273</v>
      </c>
      <c r="H1027" s="99" t="s">
        <v>689</v>
      </c>
      <c r="I1027" s="74"/>
      <c r="J1027" s="119"/>
      <c r="K1027" s="271">
        <f t="shared" si="170"/>
        <v>0</v>
      </c>
      <c r="L1027" s="74"/>
      <c r="M1027" s="74"/>
    </row>
    <row r="1028" spans="1:13" ht="15" hidden="1">
      <c r="A1028" s="111" t="s">
        <v>496</v>
      </c>
      <c r="B1028" s="270" t="s">
        <v>31</v>
      </c>
      <c r="C1028" s="100" t="s">
        <v>96</v>
      </c>
      <c r="D1028" s="99" t="s">
        <v>223</v>
      </c>
      <c r="E1028" s="99" t="s">
        <v>137</v>
      </c>
      <c r="F1028" s="99" t="s">
        <v>147</v>
      </c>
      <c r="G1028" s="99" t="s">
        <v>275</v>
      </c>
      <c r="H1028" s="99"/>
      <c r="I1028" s="74"/>
      <c r="J1028" s="74">
        <f>J1029</f>
        <v>0</v>
      </c>
      <c r="K1028" s="271">
        <f t="shared" si="170"/>
        <v>0</v>
      </c>
      <c r="L1028" s="74">
        <f>L1029</f>
        <v>0</v>
      </c>
      <c r="M1028" s="74">
        <f>M1029</f>
        <v>0</v>
      </c>
    </row>
    <row r="1029" spans="1:13" ht="30" hidden="1">
      <c r="A1029" s="109" t="s">
        <v>688</v>
      </c>
      <c r="B1029" s="270" t="s">
        <v>31</v>
      </c>
      <c r="C1029" s="100" t="s">
        <v>96</v>
      </c>
      <c r="D1029" s="99" t="s">
        <v>223</v>
      </c>
      <c r="E1029" s="99" t="s">
        <v>137</v>
      </c>
      <c r="F1029" s="99" t="s">
        <v>147</v>
      </c>
      <c r="G1029" s="99" t="s">
        <v>275</v>
      </c>
      <c r="H1029" s="99" t="s">
        <v>689</v>
      </c>
      <c r="I1029" s="74"/>
      <c r="J1029" s="256"/>
      <c r="K1029" s="271">
        <f t="shared" si="170"/>
        <v>0</v>
      </c>
      <c r="L1029" s="74"/>
      <c r="M1029" s="74"/>
    </row>
    <row r="1030" spans="1:13" ht="15" hidden="1">
      <c r="A1030" s="111" t="s">
        <v>497</v>
      </c>
      <c r="B1030" s="270" t="s">
        <v>31</v>
      </c>
      <c r="C1030" s="100" t="s">
        <v>96</v>
      </c>
      <c r="D1030" s="99" t="s">
        <v>223</v>
      </c>
      <c r="E1030" s="99" t="s">
        <v>137</v>
      </c>
      <c r="F1030" s="99" t="s">
        <v>147</v>
      </c>
      <c r="G1030" s="99" t="s">
        <v>277</v>
      </c>
      <c r="H1030" s="99"/>
      <c r="I1030" s="74"/>
      <c r="J1030" s="74">
        <f>J1031</f>
        <v>0</v>
      </c>
      <c r="K1030" s="271">
        <f t="shared" si="170"/>
        <v>0</v>
      </c>
      <c r="L1030" s="74">
        <f>L1031</f>
        <v>0</v>
      </c>
      <c r="M1030" s="74">
        <f>M1031</f>
        <v>0</v>
      </c>
    </row>
    <row r="1031" spans="1:13" ht="30" hidden="1">
      <c r="A1031" s="109" t="s">
        <v>688</v>
      </c>
      <c r="B1031" s="270" t="s">
        <v>31</v>
      </c>
      <c r="C1031" s="100" t="s">
        <v>96</v>
      </c>
      <c r="D1031" s="99" t="s">
        <v>223</v>
      </c>
      <c r="E1031" s="99" t="s">
        <v>137</v>
      </c>
      <c r="F1031" s="99" t="s">
        <v>147</v>
      </c>
      <c r="G1031" s="99" t="s">
        <v>277</v>
      </c>
      <c r="H1031" s="99" t="s">
        <v>689</v>
      </c>
      <c r="I1031" s="74"/>
      <c r="J1031" s="256"/>
      <c r="K1031" s="271">
        <f t="shared" si="170"/>
        <v>0</v>
      </c>
      <c r="L1031" s="74"/>
      <c r="M1031" s="74"/>
    </row>
    <row r="1032" spans="1:13" ht="42.75">
      <c r="A1032" s="124" t="s">
        <v>279</v>
      </c>
      <c r="B1032" s="266" t="s">
        <v>31</v>
      </c>
      <c r="C1032" s="95" t="s">
        <v>96</v>
      </c>
      <c r="D1032" s="67" t="s">
        <v>223</v>
      </c>
      <c r="E1032" s="67" t="s">
        <v>250</v>
      </c>
      <c r="F1032" s="67" t="s">
        <v>149</v>
      </c>
      <c r="G1032" s="67" t="s">
        <v>150</v>
      </c>
      <c r="H1032" s="67"/>
      <c r="I1032" s="36">
        <f>I1033</f>
        <v>286.4</v>
      </c>
      <c r="J1032" s="36">
        <f>J1033</f>
        <v>86.4</v>
      </c>
      <c r="K1032" s="267">
        <f t="shared" si="170"/>
        <v>-199.99999999999997</v>
      </c>
      <c r="L1032" s="36">
        <f>L1033</f>
        <v>510</v>
      </c>
      <c r="M1032" s="36">
        <f>M1033</f>
        <v>521</v>
      </c>
    </row>
    <row r="1033" spans="1:13" s="276" customFormat="1" ht="28.5">
      <c r="A1033" s="125" t="s">
        <v>281</v>
      </c>
      <c r="B1033" s="266" t="s">
        <v>31</v>
      </c>
      <c r="C1033" s="95" t="s">
        <v>96</v>
      </c>
      <c r="D1033" s="95" t="s">
        <v>223</v>
      </c>
      <c r="E1033" s="95" t="s">
        <v>250</v>
      </c>
      <c r="F1033" s="67" t="s">
        <v>147</v>
      </c>
      <c r="G1033" s="67" t="s">
        <v>150</v>
      </c>
      <c r="H1033" s="67"/>
      <c r="I1033" s="36">
        <f>I1034+I1037</f>
        <v>286.4</v>
      </c>
      <c r="J1033" s="36">
        <f>J1034+J1037</f>
        <v>86.4</v>
      </c>
      <c r="K1033" s="267">
        <f t="shared" si="170"/>
        <v>-199.99999999999997</v>
      </c>
      <c r="L1033" s="36">
        <f>L1034+L1037</f>
        <v>510</v>
      </c>
      <c r="M1033" s="36">
        <f>M1034+M1037</f>
        <v>521</v>
      </c>
    </row>
    <row r="1034" spans="1:13" ht="15">
      <c r="A1034" s="111" t="s">
        <v>282</v>
      </c>
      <c r="B1034" s="270" t="s">
        <v>31</v>
      </c>
      <c r="C1034" s="100" t="s">
        <v>96</v>
      </c>
      <c r="D1034" s="100" t="s">
        <v>223</v>
      </c>
      <c r="E1034" s="100" t="s">
        <v>250</v>
      </c>
      <c r="F1034" s="99" t="s">
        <v>147</v>
      </c>
      <c r="G1034" s="100" t="s">
        <v>283</v>
      </c>
      <c r="H1034" s="99"/>
      <c r="I1034" s="74">
        <f>I1035+I1036</f>
        <v>86.4</v>
      </c>
      <c r="J1034" s="74">
        <f>J1035+J1036</f>
        <v>86.4</v>
      </c>
      <c r="K1034" s="271">
        <f t="shared" si="170"/>
        <v>0</v>
      </c>
      <c r="L1034" s="74">
        <f>L1035+L1036</f>
        <v>310</v>
      </c>
      <c r="M1034" s="74">
        <f>M1036+M1035</f>
        <v>321</v>
      </c>
    </row>
    <row r="1035" spans="1:13" ht="30" hidden="1">
      <c r="A1035" s="111" t="s">
        <v>683</v>
      </c>
      <c r="B1035" s="270" t="s">
        <v>31</v>
      </c>
      <c r="C1035" s="100" t="s">
        <v>96</v>
      </c>
      <c r="D1035" s="100" t="s">
        <v>223</v>
      </c>
      <c r="E1035" s="100" t="s">
        <v>250</v>
      </c>
      <c r="F1035" s="99" t="s">
        <v>147</v>
      </c>
      <c r="G1035" s="100" t="s">
        <v>283</v>
      </c>
      <c r="H1035" s="99" t="s">
        <v>682</v>
      </c>
      <c r="I1035" s="74"/>
      <c r="J1035" s="74"/>
      <c r="K1035" s="271">
        <f t="shared" si="170"/>
        <v>0</v>
      </c>
      <c r="L1035" s="74"/>
      <c r="M1035" s="74"/>
    </row>
    <row r="1036" spans="1:13" ht="30">
      <c r="A1036" s="109" t="s">
        <v>688</v>
      </c>
      <c r="B1036" s="270" t="s">
        <v>31</v>
      </c>
      <c r="C1036" s="100" t="s">
        <v>96</v>
      </c>
      <c r="D1036" s="100" t="s">
        <v>223</v>
      </c>
      <c r="E1036" s="100" t="s">
        <v>250</v>
      </c>
      <c r="F1036" s="99" t="s">
        <v>147</v>
      </c>
      <c r="G1036" s="100" t="s">
        <v>283</v>
      </c>
      <c r="H1036" s="99" t="s">
        <v>689</v>
      </c>
      <c r="I1036" s="74">
        <f>300-213.6</f>
        <v>86.4</v>
      </c>
      <c r="J1036" s="74">
        <f>300-213.6</f>
        <v>86.4</v>
      </c>
      <c r="K1036" s="271">
        <f t="shared" si="170"/>
        <v>0</v>
      </c>
      <c r="L1036" s="74">
        <v>310</v>
      </c>
      <c r="M1036" s="74">
        <f>320+61-60</f>
        <v>321</v>
      </c>
    </row>
    <row r="1037" spans="1:13" ht="30">
      <c r="A1037" s="109" t="s">
        <v>879</v>
      </c>
      <c r="B1037" s="270" t="s">
        <v>31</v>
      </c>
      <c r="C1037" s="100" t="s">
        <v>96</v>
      </c>
      <c r="D1037" s="100" t="s">
        <v>223</v>
      </c>
      <c r="E1037" s="100" t="s">
        <v>250</v>
      </c>
      <c r="F1037" s="99" t="s">
        <v>147</v>
      </c>
      <c r="G1037" s="100" t="s">
        <v>868</v>
      </c>
      <c r="H1037" s="99"/>
      <c r="I1037" s="74">
        <f>I1039+I1038</f>
        <v>200</v>
      </c>
      <c r="J1037" s="74">
        <f>J1039+J1038</f>
        <v>0</v>
      </c>
      <c r="K1037" s="271">
        <f t="shared" si="170"/>
        <v>-200</v>
      </c>
      <c r="L1037" s="74">
        <f>L1039+L1038</f>
        <v>200</v>
      </c>
      <c r="M1037" s="74">
        <f>M1039+M1038</f>
        <v>200</v>
      </c>
    </row>
    <row r="1038" spans="1:13" ht="30">
      <c r="A1038" s="109" t="s">
        <v>683</v>
      </c>
      <c r="B1038" s="270" t="s">
        <v>31</v>
      </c>
      <c r="C1038" s="100" t="s">
        <v>96</v>
      </c>
      <c r="D1038" s="100" t="s">
        <v>223</v>
      </c>
      <c r="E1038" s="100" t="s">
        <v>250</v>
      </c>
      <c r="F1038" s="99" t="s">
        <v>147</v>
      </c>
      <c r="G1038" s="100" t="s">
        <v>868</v>
      </c>
      <c r="H1038" s="99" t="s">
        <v>682</v>
      </c>
      <c r="I1038" s="74">
        <f>150-150</f>
        <v>0</v>
      </c>
      <c r="J1038" s="74">
        <f>150-150</f>
        <v>0</v>
      </c>
      <c r="K1038" s="271">
        <f t="shared" si="170"/>
        <v>0</v>
      </c>
      <c r="L1038" s="74">
        <v>150</v>
      </c>
      <c r="M1038" s="74">
        <v>150</v>
      </c>
    </row>
    <row r="1039" spans="1:13" ht="30">
      <c r="A1039" s="109" t="s">
        <v>688</v>
      </c>
      <c r="B1039" s="270" t="s">
        <v>31</v>
      </c>
      <c r="C1039" s="100" t="s">
        <v>96</v>
      </c>
      <c r="D1039" s="100" t="s">
        <v>223</v>
      </c>
      <c r="E1039" s="100" t="s">
        <v>250</v>
      </c>
      <c r="F1039" s="99" t="s">
        <v>147</v>
      </c>
      <c r="G1039" s="100" t="s">
        <v>868</v>
      </c>
      <c r="H1039" s="99" t="s">
        <v>689</v>
      </c>
      <c r="I1039" s="74">
        <f>50+150</f>
        <v>200</v>
      </c>
      <c r="J1039" s="74">
        <f>50+150-200</f>
        <v>0</v>
      </c>
      <c r="K1039" s="271">
        <f t="shared" si="170"/>
        <v>-200</v>
      </c>
      <c r="L1039" s="74">
        <v>50</v>
      </c>
      <c r="M1039" s="74">
        <v>50</v>
      </c>
    </row>
    <row r="1040" spans="1:13" ht="15">
      <c r="A1040" s="127" t="s">
        <v>424</v>
      </c>
      <c r="B1040" s="266" t="s">
        <v>31</v>
      </c>
      <c r="C1040" s="95" t="s">
        <v>96</v>
      </c>
      <c r="D1040" s="95" t="s">
        <v>425</v>
      </c>
      <c r="E1040" s="95" t="s">
        <v>148</v>
      </c>
      <c r="F1040" s="95" t="s">
        <v>149</v>
      </c>
      <c r="G1040" s="95" t="s">
        <v>150</v>
      </c>
      <c r="H1040" s="94"/>
      <c r="I1040" s="36">
        <f aca="true" t="shared" si="171" ref="I1040:M1041">I1041</f>
        <v>19613</v>
      </c>
      <c r="J1040" s="36">
        <f t="shared" si="171"/>
        <v>19613</v>
      </c>
      <c r="K1040" s="267">
        <f aca="true" t="shared" si="172" ref="K1040:K1049">J1040-I1040</f>
        <v>0</v>
      </c>
      <c r="L1040" s="36">
        <f t="shared" si="171"/>
        <v>20385</v>
      </c>
      <c r="M1040" s="36">
        <f t="shared" si="171"/>
        <v>21194</v>
      </c>
    </row>
    <row r="1041" spans="1:13" ht="15">
      <c r="A1041" s="124" t="s">
        <v>399</v>
      </c>
      <c r="B1041" s="266" t="s">
        <v>31</v>
      </c>
      <c r="C1041" s="95" t="s">
        <v>96</v>
      </c>
      <c r="D1041" s="67" t="s">
        <v>425</v>
      </c>
      <c r="E1041" s="67" t="s">
        <v>329</v>
      </c>
      <c r="F1041" s="67" t="s">
        <v>149</v>
      </c>
      <c r="G1041" s="67" t="s">
        <v>150</v>
      </c>
      <c r="H1041" s="67"/>
      <c r="I1041" s="36">
        <f t="shared" si="171"/>
        <v>19613</v>
      </c>
      <c r="J1041" s="36">
        <f t="shared" si="171"/>
        <v>19613</v>
      </c>
      <c r="K1041" s="267">
        <f t="shared" si="172"/>
        <v>0</v>
      </c>
      <c r="L1041" s="36">
        <f t="shared" si="171"/>
        <v>20385</v>
      </c>
      <c r="M1041" s="36">
        <f t="shared" si="171"/>
        <v>21194</v>
      </c>
    </row>
    <row r="1042" spans="1:13" s="276" customFormat="1" ht="14.25">
      <c r="A1042" s="124" t="s">
        <v>399</v>
      </c>
      <c r="B1042" s="266" t="s">
        <v>31</v>
      </c>
      <c r="C1042" s="95" t="s">
        <v>96</v>
      </c>
      <c r="D1042" s="67" t="s">
        <v>425</v>
      </c>
      <c r="E1042" s="67" t="s">
        <v>329</v>
      </c>
      <c r="F1042" s="67" t="s">
        <v>147</v>
      </c>
      <c r="G1042" s="67" t="s">
        <v>150</v>
      </c>
      <c r="H1042" s="67"/>
      <c r="I1042" s="36">
        <f>I1043+I1047+I1049</f>
        <v>19613</v>
      </c>
      <c r="J1042" s="36">
        <f>J1043+J1047+J1049</f>
        <v>19613</v>
      </c>
      <c r="K1042" s="267">
        <f t="shared" si="172"/>
        <v>0</v>
      </c>
      <c r="L1042" s="36">
        <f>L1043+L1047+L1049</f>
        <v>20385</v>
      </c>
      <c r="M1042" s="36">
        <f>M1043+M1047+M1049</f>
        <v>21194</v>
      </c>
    </row>
    <row r="1043" spans="1:13" ht="15">
      <c r="A1043" s="109" t="s">
        <v>189</v>
      </c>
      <c r="B1043" s="270" t="s">
        <v>31</v>
      </c>
      <c r="C1043" s="100" t="s">
        <v>96</v>
      </c>
      <c r="D1043" s="99" t="s">
        <v>425</v>
      </c>
      <c r="E1043" s="99" t="s">
        <v>329</v>
      </c>
      <c r="F1043" s="99" t="s">
        <v>147</v>
      </c>
      <c r="G1043" s="100" t="s">
        <v>190</v>
      </c>
      <c r="H1043" s="117"/>
      <c r="I1043" s="74">
        <f>I1044+I1045+I1046</f>
        <v>19613</v>
      </c>
      <c r="J1043" s="74">
        <f>J1044+J1045+J1046</f>
        <v>19613</v>
      </c>
      <c r="K1043" s="271">
        <f t="shared" si="172"/>
        <v>0</v>
      </c>
      <c r="L1043" s="74">
        <f>L1044+L1045+L1046</f>
        <v>20385</v>
      </c>
      <c r="M1043" s="74">
        <f>M1044+M1045+M1046</f>
        <v>21194</v>
      </c>
    </row>
    <row r="1044" spans="1:13" ht="60">
      <c r="A1044" s="111" t="s">
        <v>680</v>
      </c>
      <c r="B1044" s="270" t="s">
        <v>31</v>
      </c>
      <c r="C1044" s="100" t="s">
        <v>96</v>
      </c>
      <c r="D1044" s="99" t="s">
        <v>425</v>
      </c>
      <c r="E1044" s="99" t="s">
        <v>329</v>
      </c>
      <c r="F1044" s="99" t="s">
        <v>147</v>
      </c>
      <c r="G1044" s="100" t="s">
        <v>190</v>
      </c>
      <c r="H1044" s="117">
        <v>100</v>
      </c>
      <c r="I1044" s="74">
        <v>19439</v>
      </c>
      <c r="J1044" s="74">
        <v>19439</v>
      </c>
      <c r="K1044" s="271">
        <f t="shared" si="172"/>
        <v>0</v>
      </c>
      <c r="L1044" s="74">
        <v>20385</v>
      </c>
      <c r="M1044" s="74">
        <v>21194</v>
      </c>
    </row>
    <row r="1045" spans="1:13" ht="30">
      <c r="A1045" s="111" t="s">
        <v>683</v>
      </c>
      <c r="B1045" s="270" t="s">
        <v>31</v>
      </c>
      <c r="C1045" s="100" t="s">
        <v>96</v>
      </c>
      <c r="D1045" s="99" t="s">
        <v>425</v>
      </c>
      <c r="E1045" s="99" t="s">
        <v>329</v>
      </c>
      <c r="F1045" s="99" t="s">
        <v>147</v>
      </c>
      <c r="G1045" s="100" t="s">
        <v>190</v>
      </c>
      <c r="H1045" s="117">
        <v>200</v>
      </c>
      <c r="I1045" s="74">
        <v>172</v>
      </c>
      <c r="J1045" s="74">
        <v>172</v>
      </c>
      <c r="K1045" s="271">
        <f t="shared" si="172"/>
        <v>0</v>
      </c>
      <c r="L1045" s="74"/>
      <c r="M1045" s="74"/>
    </row>
    <row r="1046" spans="1:13" ht="15">
      <c r="A1046" s="111" t="s">
        <v>684</v>
      </c>
      <c r="B1046" s="270" t="s">
        <v>31</v>
      </c>
      <c r="C1046" s="100" t="s">
        <v>96</v>
      </c>
      <c r="D1046" s="99" t="s">
        <v>425</v>
      </c>
      <c r="E1046" s="99" t="s">
        <v>329</v>
      </c>
      <c r="F1046" s="99" t="s">
        <v>147</v>
      </c>
      <c r="G1046" s="100" t="s">
        <v>190</v>
      </c>
      <c r="H1046" s="117">
        <v>800</v>
      </c>
      <c r="I1046" s="74">
        <v>2</v>
      </c>
      <c r="J1046" s="74">
        <v>2</v>
      </c>
      <c r="K1046" s="271">
        <f t="shared" si="172"/>
        <v>0</v>
      </c>
      <c r="L1046" s="74"/>
      <c r="M1046" s="74"/>
    </row>
    <row r="1047" spans="1:13" ht="15" hidden="1">
      <c r="A1047" s="111" t="s">
        <v>370</v>
      </c>
      <c r="B1047" s="270" t="s">
        <v>31</v>
      </c>
      <c r="C1047" s="100" t="s">
        <v>96</v>
      </c>
      <c r="D1047" s="99" t="s">
        <v>425</v>
      </c>
      <c r="E1047" s="99" t="s">
        <v>329</v>
      </c>
      <c r="F1047" s="99" t="s">
        <v>147</v>
      </c>
      <c r="G1047" s="100" t="s">
        <v>371</v>
      </c>
      <c r="H1047" s="117"/>
      <c r="I1047" s="74"/>
      <c r="J1047" s="74">
        <f>J1048</f>
        <v>0</v>
      </c>
      <c r="K1047" s="271">
        <f t="shared" si="172"/>
        <v>0</v>
      </c>
      <c r="L1047" s="74">
        <f>L1048</f>
        <v>0</v>
      </c>
      <c r="M1047" s="74">
        <f>M1048</f>
        <v>0</v>
      </c>
    </row>
    <row r="1048" spans="1:13" ht="30" hidden="1">
      <c r="A1048" s="109" t="s">
        <v>688</v>
      </c>
      <c r="B1048" s="270" t="s">
        <v>31</v>
      </c>
      <c r="C1048" s="100" t="s">
        <v>96</v>
      </c>
      <c r="D1048" s="99" t="s">
        <v>425</v>
      </c>
      <c r="E1048" s="99" t="s">
        <v>329</v>
      </c>
      <c r="F1048" s="99" t="s">
        <v>147</v>
      </c>
      <c r="G1048" s="100" t="s">
        <v>371</v>
      </c>
      <c r="H1048" s="117">
        <v>600</v>
      </c>
      <c r="I1048" s="74"/>
      <c r="J1048" s="119">
        <f>782-297-22-122-21-320</f>
        <v>0</v>
      </c>
      <c r="K1048" s="271">
        <f t="shared" si="172"/>
        <v>0</v>
      </c>
      <c r="L1048" s="74">
        <f>325-304-21</f>
        <v>0</v>
      </c>
      <c r="M1048" s="74">
        <f>326-21-305</f>
        <v>0</v>
      </c>
    </row>
    <row r="1049" spans="1:13" ht="45" hidden="1">
      <c r="A1049" s="109" t="s">
        <v>995</v>
      </c>
      <c r="B1049" s="298" t="s">
        <v>31</v>
      </c>
      <c r="C1049" s="295" t="s">
        <v>96</v>
      </c>
      <c r="D1049" s="295" t="s">
        <v>425</v>
      </c>
      <c r="E1049" s="295" t="s">
        <v>329</v>
      </c>
      <c r="F1049" s="295" t="s">
        <v>147</v>
      </c>
      <c r="G1049" s="295" t="s">
        <v>987</v>
      </c>
      <c r="H1049" s="299"/>
      <c r="I1049" s="74"/>
      <c r="J1049" s="74">
        <f>J1050</f>
        <v>0</v>
      </c>
      <c r="K1049" s="271">
        <f t="shared" si="172"/>
        <v>0</v>
      </c>
      <c r="L1049" s="74">
        <f>L1050</f>
        <v>0</v>
      </c>
      <c r="M1049" s="74">
        <f>M1050</f>
        <v>0</v>
      </c>
    </row>
    <row r="1050" spans="1:13" ht="30" hidden="1">
      <c r="A1050" s="111" t="s">
        <v>683</v>
      </c>
      <c r="B1050" s="270" t="s">
        <v>31</v>
      </c>
      <c r="C1050" s="100" t="s">
        <v>96</v>
      </c>
      <c r="D1050" s="100" t="s">
        <v>425</v>
      </c>
      <c r="E1050" s="100" t="s">
        <v>329</v>
      </c>
      <c r="F1050" s="100" t="s">
        <v>147</v>
      </c>
      <c r="G1050" s="100" t="s">
        <v>987</v>
      </c>
      <c r="H1050" s="117">
        <v>200</v>
      </c>
      <c r="I1050" s="119"/>
      <c r="J1050" s="119"/>
      <c r="K1050" s="271"/>
      <c r="L1050" s="74"/>
      <c r="M1050" s="74"/>
    </row>
    <row r="1051" spans="1:13" ht="15">
      <c r="A1051" s="127" t="s">
        <v>101</v>
      </c>
      <c r="B1051" s="266">
        <v>119</v>
      </c>
      <c r="C1051" s="95" t="s">
        <v>102</v>
      </c>
      <c r="D1051" s="67"/>
      <c r="E1051" s="67"/>
      <c r="F1051" s="67"/>
      <c r="G1051" s="67"/>
      <c r="H1051" s="67"/>
      <c r="I1051" s="36">
        <f>I1052+I1060</f>
        <v>73959.4</v>
      </c>
      <c r="J1051" s="36">
        <f>J1052+J1060</f>
        <v>73959.4</v>
      </c>
      <c r="K1051" s="267">
        <f aca="true" t="shared" si="173" ref="K1051:K1059">J1051-I1051</f>
        <v>0</v>
      </c>
      <c r="L1051" s="36">
        <f>L1052+L1060</f>
        <v>63188.1</v>
      </c>
      <c r="M1051" s="36">
        <f>M1052+M1060</f>
        <v>63186.3</v>
      </c>
    </row>
    <row r="1052" spans="1:13" ht="15">
      <c r="A1052" s="127" t="s">
        <v>107</v>
      </c>
      <c r="B1052" s="266" t="s">
        <v>31</v>
      </c>
      <c r="C1052" s="95" t="s">
        <v>108</v>
      </c>
      <c r="D1052" s="67"/>
      <c r="E1052" s="67"/>
      <c r="F1052" s="67"/>
      <c r="G1052" s="67"/>
      <c r="H1052" s="67"/>
      <c r="I1052" s="36">
        <f aca="true" t="shared" si="174" ref="I1052:M1056">I1053</f>
        <v>51470.8</v>
      </c>
      <c r="J1052" s="36">
        <f t="shared" si="174"/>
        <v>51470.8</v>
      </c>
      <c r="K1052" s="267">
        <f t="shared" si="173"/>
        <v>0</v>
      </c>
      <c r="L1052" s="36">
        <f t="shared" si="174"/>
        <v>40699.5</v>
      </c>
      <c r="M1052" s="36">
        <f t="shared" si="174"/>
        <v>40697.700000000004</v>
      </c>
    </row>
    <row r="1053" spans="1:13" ht="33" customHeight="1">
      <c r="A1053" s="127" t="s">
        <v>222</v>
      </c>
      <c r="B1053" s="266" t="s">
        <v>31</v>
      </c>
      <c r="C1053" s="95" t="s">
        <v>108</v>
      </c>
      <c r="D1053" s="67" t="s">
        <v>223</v>
      </c>
      <c r="E1053" s="67" t="s">
        <v>148</v>
      </c>
      <c r="F1053" s="67" t="s">
        <v>149</v>
      </c>
      <c r="G1053" s="67" t="s">
        <v>150</v>
      </c>
      <c r="H1053" s="67"/>
      <c r="I1053" s="36">
        <f t="shared" si="174"/>
        <v>51470.8</v>
      </c>
      <c r="J1053" s="36">
        <f t="shared" si="174"/>
        <v>51470.8</v>
      </c>
      <c r="K1053" s="267">
        <f t="shared" si="173"/>
        <v>0</v>
      </c>
      <c r="L1053" s="36">
        <f t="shared" si="174"/>
        <v>40699.5</v>
      </c>
      <c r="M1053" s="36">
        <f t="shared" si="174"/>
        <v>40697.700000000004</v>
      </c>
    </row>
    <row r="1054" spans="1:13" ht="42.75">
      <c r="A1054" s="124" t="s">
        <v>239</v>
      </c>
      <c r="B1054" s="266" t="s">
        <v>31</v>
      </c>
      <c r="C1054" s="95" t="s">
        <v>108</v>
      </c>
      <c r="D1054" s="67" t="s">
        <v>223</v>
      </c>
      <c r="E1054" s="67" t="s">
        <v>132</v>
      </c>
      <c r="F1054" s="67" t="s">
        <v>149</v>
      </c>
      <c r="G1054" s="67" t="s">
        <v>150</v>
      </c>
      <c r="H1054" s="67"/>
      <c r="I1054" s="36">
        <f t="shared" si="174"/>
        <v>51470.8</v>
      </c>
      <c r="J1054" s="36">
        <f t="shared" si="174"/>
        <v>51470.8</v>
      </c>
      <c r="K1054" s="267">
        <f t="shared" si="173"/>
        <v>0</v>
      </c>
      <c r="L1054" s="36">
        <f t="shared" si="174"/>
        <v>40699.5</v>
      </c>
      <c r="M1054" s="36">
        <f t="shared" si="174"/>
        <v>40697.700000000004</v>
      </c>
    </row>
    <row r="1055" spans="1:13" s="276" customFormat="1" ht="28.5">
      <c r="A1055" s="127" t="s">
        <v>240</v>
      </c>
      <c r="B1055" s="266" t="s">
        <v>31</v>
      </c>
      <c r="C1055" s="95" t="s">
        <v>108</v>
      </c>
      <c r="D1055" s="95" t="s">
        <v>223</v>
      </c>
      <c r="E1055" s="95" t="s">
        <v>132</v>
      </c>
      <c r="F1055" s="95" t="s">
        <v>147</v>
      </c>
      <c r="G1055" s="95" t="s">
        <v>150</v>
      </c>
      <c r="H1055" s="67"/>
      <c r="I1055" s="36">
        <f>I1056+I1058</f>
        <v>51470.8</v>
      </c>
      <c r="J1055" s="36">
        <f>J1056+J1058</f>
        <v>51470.8</v>
      </c>
      <c r="K1055" s="267">
        <f t="shared" si="173"/>
        <v>0</v>
      </c>
      <c r="L1055" s="36">
        <f>L1056+L1058</f>
        <v>40699.5</v>
      </c>
      <c r="M1055" s="36">
        <f>M1056+M1058</f>
        <v>40697.700000000004</v>
      </c>
    </row>
    <row r="1056" spans="1:13" s="268" customFormat="1" ht="105">
      <c r="A1056" s="111" t="s">
        <v>251</v>
      </c>
      <c r="B1056" s="270" t="s">
        <v>31</v>
      </c>
      <c r="C1056" s="100" t="s">
        <v>108</v>
      </c>
      <c r="D1056" s="100" t="s">
        <v>223</v>
      </c>
      <c r="E1056" s="100" t="s">
        <v>132</v>
      </c>
      <c r="F1056" s="100" t="s">
        <v>147</v>
      </c>
      <c r="G1056" s="100" t="s">
        <v>252</v>
      </c>
      <c r="H1056" s="99"/>
      <c r="I1056" s="74">
        <f t="shared" si="174"/>
        <v>51470.8</v>
      </c>
      <c r="J1056" s="74">
        <f t="shared" si="174"/>
        <v>35032.8</v>
      </c>
      <c r="K1056" s="271">
        <f t="shared" si="173"/>
        <v>-16438</v>
      </c>
      <c r="L1056" s="74">
        <f t="shared" si="174"/>
        <v>40699.5</v>
      </c>
      <c r="M1056" s="74">
        <f t="shared" si="174"/>
        <v>40697.700000000004</v>
      </c>
    </row>
    <row r="1057" spans="1:13" s="268" customFormat="1" ht="30">
      <c r="A1057" s="109" t="s">
        <v>688</v>
      </c>
      <c r="B1057" s="270" t="s">
        <v>31</v>
      </c>
      <c r="C1057" s="100" t="s">
        <v>108</v>
      </c>
      <c r="D1057" s="100" t="s">
        <v>223</v>
      </c>
      <c r="E1057" s="100" t="s">
        <v>132</v>
      </c>
      <c r="F1057" s="100" t="s">
        <v>147</v>
      </c>
      <c r="G1057" s="100" t="s">
        <v>252</v>
      </c>
      <c r="H1057" s="99" t="s">
        <v>689</v>
      </c>
      <c r="I1057" s="74">
        <f>40410.8+402+10658</f>
        <v>51470.8</v>
      </c>
      <c r="J1057" s="74">
        <f>40410.8+402+10658-16438</f>
        <v>35032.8</v>
      </c>
      <c r="K1057" s="271">
        <f t="shared" si="173"/>
        <v>-16438</v>
      </c>
      <c r="L1057" s="74">
        <f>40410.8+288.7</f>
        <v>40699.5</v>
      </c>
      <c r="M1057" s="74">
        <f>40410.8+286.9</f>
        <v>40697.700000000004</v>
      </c>
    </row>
    <row r="1058" spans="1:13" s="268" customFormat="1" ht="45">
      <c r="A1058" s="109" t="s">
        <v>1158</v>
      </c>
      <c r="B1058" s="270" t="s">
        <v>31</v>
      </c>
      <c r="C1058" s="100" t="s">
        <v>108</v>
      </c>
      <c r="D1058" s="100" t="s">
        <v>223</v>
      </c>
      <c r="E1058" s="100" t="s">
        <v>132</v>
      </c>
      <c r="F1058" s="100" t="s">
        <v>147</v>
      </c>
      <c r="G1058" s="100" t="s">
        <v>1159</v>
      </c>
      <c r="H1058" s="99"/>
      <c r="I1058" s="74">
        <f>I1059</f>
        <v>0</v>
      </c>
      <c r="J1058" s="74">
        <f>J1059</f>
        <v>16438</v>
      </c>
      <c r="K1058" s="271">
        <f t="shared" si="173"/>
        <v>16438</v>
      </c>
      <c r="L1058" s="74">
        <f>L1059</f>
        <v>0</v>
      </c>
      <c r="M1058" s="74">
        <f>M1059</f>
        <v>0</v>
      </c>
    </row>
    <row r="1059" spans="1:13" s="268" customFormat="1" ht="30">
      <c r="A1059" s="109" t="s">
        <v>688</v>
      </c>
      <c r="B1059" s="270" t="s">
        <v>31</v>
      </c>
      <c r="C1059" s="100" t="s">
        <v>108</v>
      </c>
      <c r="D1059" s="100" t="s">
        <v>223</v>
      </c>
      <c r="E1059" s="100" t="s">
        <v>132</v>
      </c>
      <c r="F1059" s="100" t="s">
        <v>147</v>
      </c>
      <c r="G1059" s="100" t="s">
        <v>1159</v>
      </c>
      <c r="H1059" s="99" t="s">
        <v>689</v>
      </c>
      <c r="I1059" s="74"/>
      <c r="J1059" s="74">
        <v>16438</v>
      </c>
      <c r="K1059" s="271">
        <f t="shared" si="173"/>
        <v>16438</v>
      </c>
      <c r="L1059" s="74"/>
      <c r="M1059" s="74"/>
    </row>
    <row r="1060" spans="1:13" s="268" customFormat="1" ht="14.25">
      <c r="A1060" s="127" t="s">
        <v>109</v>
      </c>
      <c r="B1060" s="266" t="s">
        <v>31</v>
      </c>
      <c r="C1060" s="95" t="s">
        <v>110</v>
      </c>
      <c r="D1060" s="95"/>
      <c r="E1060" s="95"/>
      <c r="F1060" s="95"/>
      <c r="G1060" s="95"/>
      <c r="H1060" s="67"/>
      <c r="I1060" s="36">
        <f aca="true" t="shared" si="175" ref="I1060:M1064">I1061</f>
        <v>22488.6</v>
      </c>
      <c r="J1060" s="36">
        <f t="shared" si="175"/>
        <v>22488.6</v>
      </c>
      <c r="K1060" s="267">
        <f aca="true" t="shared" si="176" ref="K1060:K1065">J1060-I1060</f>
        <v>0</v>
      </c>
      <c r="L1060" s="36">
        <f t="shared" si="175"/>
        <v>22488.6</v>
      </c>
      <c r="M1060" s="36">
        <f t="shared" si="175"/>
        <v>22488.6</v>
      </c>
    </row>
    <row r="1061" spans="1:13" s="268" customFormat="1" ht="35.25" customHeight="1">
      <c r="A1061" s="127" t="s">
        <v>222</v>
      </c>
      <c r="B1061" s="266" t="s">
        <v>31</v>
      </c>
      <c r="C1061" s="95" t="s">
        <v>110</v>
      </c>
      <c r="D1061" s="95" t="s">
        <v>223</v>
      </c>
      <c r="E1061" s="95" t="s">
        <v>148</v>
      </c>
      <c r="F1061" s="95" t="s">
        <v>149</v>
      </c>
      <c r="G1061" s="95" t="s">
        <v>150</v>
      </c>
      <c r="H1061" s="67"/>
      <c r="I1061" s="36">
        <f t="shared" si="175"/>
        <v>22488.6</v>
      </c>
      <c r="J1061" s="36">
        <f t="shared" si="175"/>
        <v>22488.6</v>
      </c>
      <c r="K1061" s="267">
        <f t="shared" si="176"/>
        <v>0</v>
      </c>
      <c r="L1061" s="36">
        <f t="shared" si="175"/>
        <v>22488.6</v>
      </c>
      <c r="M1061" s="36">
        <f t="shared" si="175"/>
        <v>22488.6</v>
      </c>
    </row>
    <row r="1062" spans="1:13" s="268" customFormat="1" ht="28.5">
      <c r="A1062" s="124" t="s">
        <v>470</v>
      </c>
      <c r="B1062" s="266" t="s">
        <v>31</v>
      </c>
      <c r="C1062" s="95" t="s">
        <v>110</v>
      </c>
      <c r="D1062" s="95" t="s">
        <v>223</v>
      </c>
      <c r="E1062" s="95" t="s">
        <v>131</v>
      </c>
      <c r="F1062" s="95" t="s">
        <v>149</v>
      </c>
      <c r="G1062" s="95" t="s">
        <v>150</v>
      </c>
      <c r="H1062" s="67"/>
      <c r="I1062" s="36">
        <f t="shared" si="175"/>
        <v>22488.6</v>
      </c>
      <c r="J1062" s="36">
        <f t="shared" si="175"/>
        <v>22488.6</v>
      </c>
      <c r="K1062" s="267">
        <f t="shared" si="176"/>
        <v>0</v>
      </c>
      <c r="L1062" s="36">
        <f t="shared" si="175"/>
        <v>22488.6</v>
      </c>
      <c r="M1062" s="36">
        <f t="shared" si="175"/>
        <v>22488.6</v>
      </c>
    </row>
    <row r="1063" spans="1:13" s="268" customFormat="1" ht="28.5">
      <c r="A1063" s="125" t="s">
        <v>224</v>
      </c>
      <c r="B1063" s="266" t="s">
        <v>31</v>
      </c>
      <c r="C1063" s="95" t="s">
        <v>110</v>
      </c>
      <c r="D1063" s="95" t="s">
        <v>223</v>
      </c>
      <c r="E1063" s="95" t="s">
        <v>131</v>
      </c>
      <c r="F1063" s="95" t="s">
        <v>147</v>
      </c>
      <c r="G1063" s="95" t="s">
        <v>150</v>
      </c>
      <c r="H1063" s="67"/>
      <c r="I1063" s="36">
        <f t="shared" si="175"/>
        <v>22488.6</v>
      </c>
      <c r="J1063" s="36">
        <f t="shared" si="175"/>
        <v>22488.6</v>
      </c>
      <c r="K1063" s="267">
        <f t="shared" si="176"/>
        <v>0</v>
      </c>
      <c r="L1063" s="36">
        <f t="shared" si="175"/>
        <v>22488.6</v>
      </c>
      <c r="M1063" s="36">
        <f t="shared" si="175"/>
        <v>22488.6</v>
      </c>
    </row>
    <row r="1064" spans="1:13" s="268" customFormat="1" ht="45">
      <c r="A1064" s="111" t="s">
        <v>232</v>
      </c>
      <c r="B1064" s="270" t="s">
        <v>31</v>
      </c>
      <c r="C1064" s="100" t="s">
        <v>110</v>
      </c>
      <c r="D1064" s="100" t="s">
        <v>223</v>
      </c>
      <c r="E1064" s="100" t="s">
        <v>131</v>
      </c>
      <c r="F1064" s="100" t="s">
        <v>147</v>
      </c>
      <c r="G1064" s="100" t="s">
        <v>233</v>
      </c>
      <c r="H1064" s="99" t="s">
        <v>227</v>
      </c>
      <c r="I1064" s="74">
        <f t="shared" si="175"/>
        <v>22488.6</v>
      </c>
      <c r="J1064" s="74">
        <f t="shared" si="175"/>
        <v>22488.6</v>
      </c>
      <c r="K1064" s="271">
        <f t="shared" si="176"/>
        <v>0</v>
      </c>
      <c r="L1064" s="74">
        <f t="shared" si="175"/>
        <v>22488.6</v>
      </c>
      <c r="M1064" s="74">
        <f t="shared" si="175"/>
        <v>22488.6</v>
      </c>
    </row>
    <row r="1065" spans="1:13" s="268" customFormat="1" ht="30">
      <c r="A1065" s="111" t="s">
        <v>688</v>
      </c>
      <c r="B1065" s="270" t="s">
        <v>31</v>
      </c>
      <c r="C1065" s="100" t="s">
        <v>110</v>
      </c>
      <c r="D1065" s="100" t="s">
        <v>223</v>
      </c>
      <c r="E1065" s="100" t="s">
        <v>131</v>
      </c>
      <c r="F1065" s="100" t="s">
        <v>147</v>
      </c>
      <c r="G1065" s="100" t="s">
        <v>233</v>
      </c>
      <c r="H1065" s="99" t="s">
        <v>689</v>
      </c>
      <c r="I1065" s="74">
        <v>22488.6</v>
      </c>
      <c r="J1065" s="74">
        <v>22488.6</v>
      </c>
      <c r="K1065" s="271">
        <f t="shared" si="176"/>
        <v>0</v>
      </c>
      <c r="L1065" s="74">
        <v>22488.6</v>
      </c>
      <c r="M1065" s="74">
        <v>22488.6</v>
      </c>
    </row>
    <row r="1066" spans="1:13" s="269" customFormat="1" ht="15">
      <c r="A1066" s="127" t="s">
        <v>113</v>
      </c>
      <c r="B1066" s="266" t="s">
        <v>31</v>
      </c>
      <c r="C1066" s="95" t="s">
        <v>114</v>
      </c>
      <c r="D1066" s="67"/>
      <c r="E1066" s="67"/>
      <c r="F1066" s="67"/>
      <c r="G1066" s="67"/>
      <c r="H1066" s="67"/>
      <c r="I1066" s="36">
        <f aca="true" t="shared" si="177" ref="I1066:M1067">I1067</f>
        <v>21</v>
      </c>
      <c r="J1066" s="36">
        <f t="shared" si="177"/>
        <v>21</v>
      </c>
      <c r="K1066" s="267">
        <f aca="true" t="shared" si="178" ref="K1066:K1076">J1066-I1066</f>
        <v>0</v>
      </c>
      <c r="L1066" s="36">
        <f t="shared" si="177"/>
        <v>21</v>
      </c>
      <c r="M1066" s="36">
        <f t="shared" si="177"/>
        <v>21</v>
      </c>
    </row>
    <row r="1067" spans="1:13" s="269" customFormat="1" ht="15">
      <c r="A1067" s="127" t="s">
        <v>115</v>
      </c>
      <c r="B1067" s="266" t="s">
        <v>31</v>
      </c>
      <c r="C1067" s="95" t="s">
        <v>116</v>
      </c>
      <c r="D1067" s="67"/>
      <c r="E1067" s="67"/>
      <c r="F1067" s="67"/>
      <c r="G1067" s="67"/>
      <c r="H1067" s="67"/>
      <c r="I1067" s="36">
        <f t="shared" si="177"/>
        <v>21</v>
      </c>
      <c r="J1067" s="36">
        <f t="shared" si="177"/>
        <v>21</v>
      </c>
      <c r="K1067" s="267">
        <f t="shared" si="178"/>
        <v>0</v>
      </c>
      <c r="L1067" s="36">
        <f t="shared" si="177"/>
        <v>21</v>
      </c>
      <c r="M1067" s="36">
        <f t="shared" si="177"/>
        <v>21</v>
      </c>
    </row>
    <row r="1068" spans="1:13" ht="42.75">
      <c r="A1068" s="127" t="s">
        <v>205</v>
      </c>
      <c r="B1068" s="266" t="s">
        <v>31</v>
      </c>
      <c r="C1068" s="95" t="s">
        <v>116</v>
      </c>
      <c r="D1068" s="67" t="s">
        <v>206</v>
      </c>
      <c r="E1068" s="67" t="s">
        <v>148</v>
      </c>
      <c r="F1068" s="67" t="s">
        <v>149</v>
      </c>
      <c r="G1068" s="67" t="s">
        <v>150</v>
      </c>
      <c r="H1068" s="67"/>
      <c r="I1068" s="36">
        <f>I1069+I1073</f>
        <v>21</v>
      </c>
      <c r="J1068" s="36">
        <f>J1069+J1073</f>
        <v>21</v>
      </c>
      <c r="K1068" s="267">
        <f t="shared" si="178"/>
        <v>0</v>
      </c>
      <c r="L1068" s="36">
        <f>L1069+L1073</f>
        <v>21</v>
      </c>
      <c r="M1068" s="36">
        <f>M1069+M1073</f>
        <v>21</v>
      </c>
    </row>
    <row r="1069" spans="1:13" s="276" customFormat="1" ht="42.75" hidden="1">
      <c r="A1069" s="124" t="s">
        <v>499</v>
      </c>
      <c r="B1069" s="266" t="s">
        <v>31</v>
      </c>
      <c r="C1069" s="95" t="s">
        <v>116</v>
      </c>
      <c r="D1069" s="67" t="s">
        <v>206</v>
      </c>
      <c r="E1069" s="67" t="s">
        <v>132</v>
      </c>
      <c r="F1069" s="67" t="s">
        <v>149</v>
      </c>
      <c r="G1069" s="67" t="s">
        <v>150</v>
      </c>
      <c r="H1069" s="67"/>
      <c r="I1069" s="36">
        <f aca="true" t="shared" si="179" ref="I1069:M1071">I1070</f>
        <v>0</v>
      </c>
      <c r="J1069" s="36">
        <f t="shared" si="179"/>
        <v>0</v>
      </c>
      <c r="K1069" s="267">
        <f t="shared" si="178"/>
        <v>0</v>
      </c>
      <c r="L1069" s="36">
        <f t="shared" si="179"/>
        <v>0</v>
      </c>
      <c r="M1069" s="36">
        <f t="shared" si="179"/>
        <v>0</v>
      </c>
    </row>
    <row r="1070" spans="1:13" s="276" customFormat="1" ht="28.5" hidden="1">
      <c r="A1070" s="124" t="s">
        <v>927</v>
      </c>
      <c r="B1070" s="266" t="s">
        <v>31</v>
      </c>
      <c r="C1070" s="95" t="s">
        <v>116</v>
      </c>
      <c r="D1070" s="67" t="s">
        <v>206</v>
      </c>
      <c r="E1070" s="67" t="s">
        <v>132</v>
      </c>
      <c r="F1070" s="67" t="s">
        <v>147</v>
      </c>
      <c r="G1070" s="67" t="s">
        <v>150</v>
      </c>
      <c r="H1070" s="67"/>
      <c r="I1070" s="36">
        <f t="shared" si="179"/>
        <v>0</v>
      </c>
      <c r="J1070" s="36">
        <f t="shared" si="179"/>
        <v>0</v>
      </c>
      <c r="K1070" s="267">
        <f t="shared" si="178"/>
        <v>0</v>
      </c>
      <c r="L1070" s="36">
        <f t="shared" si="179"/>
        <v>0</v>
      </c>
      <c r="M1070" s="36">
        <f t="shared" si="179"/>
        <v>0</v>
      </c>
    </row>
    <row r="1071" spans="1:13" s="276" customFormat="1" ht="30" hidden="1">
      <c r="A1071" s="115" t="s">
        <v>479</v>
      </c>
      <c r="B1071" s="270" t="s">
        <v>31</v>
      </c>
      <c r="C1071" s="100" t="s">
        <v>116</v>
      </c>
      <c r="D1071" s="99" t="s">
        <v>206</v>
      </c>
      <c r="E1071" s="99" t="s">
        <v>132</v>
      </c>
      <c r="F1071" s="99" t="s">
        <v>147</v>
      </c>
      <c r="G1071" s="99" t="s">
        <v>218</v>
      </c>
      <c r="H1071" s="99"/>
      <c r="I1071" s="74">
        <f t="shared" si="179"/>
        <v>0</v>
      </c>
      <c r="J1071" s="74">
        <f t="shared" si="179"/>
        <v>0</v>
      </c>
      <c r="K1071" s="271">
        <f t="shared" si="178"/>
        <v>0</v>
      </c>
      <c r="L1071" s="74">
        <f t="shared" si="179"/>
        <v>0</v>
      </c>
      <c r="M1071" s="74">
        <f t="shared" si="179"/>
        <v>0</v>
      </c>
    </row>
    <row r="1072" spans="1:13" ht="30" hidden="1">
      <c r="A1072" s="115" t="s">
        <v>688</v>
      </c>
      <c r="B1072" s="270" t="s">
        <v>31</v>
      </c>
      <c r="C1072" s="100" t="s">
        <v>116</v>
      </c>
      <c r="D1072" s="99" t="s">
        <v>206</v>
      </c>
      <c r="E1072" s="99" t="s">
        <v>132</v>
      </c>
      <c r="F1072" s="99" t="s">
        <v>147</v>
      </c>
      <c r="G1072" s="99" t="s">
        <v>218</v>
      </c>
      <c r="H1072" s="99" t="s">
        <v>689</v>
      </c>
      <c r="I1072" s="74"/>
      <c r="J1072" s="74"/>
      <c r="K1072" s="271">
        <f t="shared" si="178"/>
        <v>0</v>
      </c>
      <c r="L1072" s="74"/>
      <c r="M1072" s="74"/>
    </row>
    <row r="1073" spans="1:13" ht="42.75">
      <c r="A1073" s="124" t="s">
        <v>480</v>
      </c>
      <c r="B1073" s="266" t="s">
        <v>31</v>
      </c>
      <c r="C1073" s="95" t="s">
        <v>116</v>
      </c>
      <c r="D1073" s="67" t="s">
        <v>206</v>
      </c>
      <c r="E1073" s="67" t="s">
        <v>134</v>
      </c>
      <c r="F1073" s="67" t="s">
        <v>149</v>
      </c>
      <c r="G1073" s="67" t="s">
        <v>150</v>
      </c>
      <c r="H1073" s="67"/>
      <c r="I1073" s="36">
        <f aca="true" t="shared" si="180" ref="I1073:M1075">I1074</f>
        <v>21</v>
      </c>
      <c r="J1073" s="36">
        <f t="shared" si="180"/>
        <v>21</v>
      </c>
      <c r="K1073" s="267">
        <f t="shared" si="178"/>
        <v>0</v>
      </c>
      <c r="L1073" s="36">
        <f t="shared" si="180"/>
        <v>21</v>
      </c>
      <c r="M1073" s="36">
        <f t="shared" si="180"/>
        <v>21</v>
      </c>
    </row>
    <row r="1074" spans="1:13" s="276" customFormat="1" ht="28.5">
      <c r="A1074" s="124" t="s">
        <v>760</v>
      </c>
      <c r="B1074" s="266" t="s">
        <v>31</v>
      </c>
      <c r="C1074" s="95" t="s">
        <v>116</v>
      </c>
      <c r="D1074" s="67" t="s">
        <v>206</v>
      </c>
      <c r="E1074" s="67" t="s">
        <v>134</v>
      </c>
      <c r="F1074" s="67" t="s">
        <v>147</v>
      </c>
      <c r="G1074" s="67" t="s">
        <v>150</v>
      </c>
      <c r="H1074" s="67"/>
      <c r="I1074" s="36">
        <f t="shared" si="180"/>
        <v>21</v>
      </c>
      <c r="J1074" s="36">
        <f t="shared" si="180"/>
        <v>21</v>
      </c>
      <c r="K1074" s="267">
        <f t="shared" si="178"/>
        <v>0</v>
      </c>
      <c r="L1074" s="36">
        <f t="shared" si="180"/>
        <v>21</v>
      </c>
      <c r="M1074" s="36">
        <f t="shared" si="180"/>
        <v>21</v>
      </c>
    </row>
    <row r="1075" spans="1:13" ht="45">
      <c r="A1075" s="115" t="s">
        <v>761</v>
      </c>
      <c r="B1075" s="270" t="s">
        <v>31</v>
      </c>
      <c r="C1075" s="100" t="s">
        <v>116</v>
      </c>
      <c r="D1075" s="99" t="s">
        <v>206</v>
      </c>
      <c r="E1075" s="99" t="s">
        <v>134</v>
      </c>
      <c r="F1075" s="99" t="s">
        <v>147</v>
      </c>
      <c r="G1075" s="99" t="s">
        <v>220</v>
      </c>
      <c r="H1075" s="99"/>
      <c r="I1075" s="74">
        <f t="shared" si="180"/>
        <v>21</v>
      </c>
      <c r="J1075" s="74">
        <f t="shared" si="180"/>
        <v>21</v>
      </c>
      <c r="K1075" s="271">
        <f t="shared" si="178"/>
        <v>0</v>
      </c>
      <c r="L1075" s="74">
        <f t="shared" si="180"/>
        <v>21</v>
      </c>
      <c r="M1075" s="74">
        <f t="shared" si="180"/>
        <v>21</v>
      </c>
    </row>
    <row r="1076" spans="1:13" ht="30">
      <c r="A1076" s="115" t="s">
        <v>688</v>
      </c>
      <c r="B1076" s="270" t="s">
        <v>31</v>
      </c>
      <c r="C1076" s="100" t="s">
        <v>116</v>
      </c>
      <c r="D1076" s="99" t="s">
        <v>206</v>
      </c>
      <c r="E1076" s="99" t="s">
        <v>134</v>
      </c>
      <c r="F1076" s="99" t="s">
        <v>147</v>
      </c>
      <c r="G1076" s="99" t="s">
        <v>220</v>
      </c>
      <c r="H1076" s="99" t="s">
        <v>689</v>
      </c>
      <c r="I1076" s="74">
        <v>21</v>
      </c>
      <c r="J1076" s="74">
        <v>21</v>
      </c>
      <c r="K1076" s="271">
        <f t="shared" si="178"/>
        <v>0</v>
      </c>
      <c r="L1076" s="74">
        <v>21</v>
      </c>
      <c r="M1076" s="74">
        <v>21</v>
      </c>
    </row>
    <row r="1077" spans="1:13" ht="28.5">
      <c r="A1077" s="127" t="s">
        <v>32</v>
      </c>
      <c r="B1077" s="266" t="s">
        <v>33</v>
      </c>
      <c r="C1077" s="95"/>
      <c r="D1077" s="95"/>
      <c r="E1077" s="95"/>
      <c r="F1077" s="95"/>
      <c r="G1077" s="95"/>
      <c r="H1077" s="94"/>
      <c r="I1077" s="36">
        <f>I1078</f>
        <v>7827.6</v>
      </c>
      <c r="J1077" s="36">
        <f>J1078</f>
        <v>7827.6</v>
      </c>
      <c r="K1077" s="267">
        <f aca="true" t="shared" si="181" ref="K1077:K1084">J1077-I1077</f>
        <v>0</v>
      </c>
      <c r="L1077" s="36">
        <f>L1078</f>
        <v>7876.200000000001</v>
      </c>
      <c r="M1077" s="36">
        <f>M1078</f>
        <v>8121.6</v>
      </c>
    </row>
    <row r="1078" spans="1:13" ht="15">
      <c r="A1078" s="127" t="s">
        <v>37</v>
      </c>
      <c r="B1078" s="266" t="s">
        <v>33</v>
      </c>
      <c r="C1078" s="95" t="s">
        <v>38</v>
      </c>
      <c r="D1078" s="95"/>
      <c r="E1078" s="95"/>
      <c r="F1078" s="95"/>
      <c r="G1078" s="95"/>
      <c r="H1078" s="94"/>
      <c r="I1078" s="36">
        <f>I1079+I1100</f>
        <v>7827.6</v>
      </c>
      <c r="J1078" s="36">
        <f>J1079+J1100</f>
        <v>7827.6</v>
      </c>
      <c r="K1078" s="267">
        <f t="shared" si="181"/>
        <v>0</v>
      </c>
      <c r="L1078" s="36">
        <f>L1079+L1100</f>
        <v>7876.200000000001</v>
      </c>
      <c r="M1078" s="36">
        <f>M1079+M1100</f>
        <v>8121.6</v>
      </c>
    </row>
    <row r="1079" spans="1:13" ht="36.75" customHeight="1">
      <c r="A1079" s="125" t="s">
        <v>47</v>
      </c>
      <c r="B1079" s="266" t="s">
        <v>33</v>
      </c>
      <c r="C1079" s="95" t="s">
        <v>48</v>
      </c>
      <c r="D1079" s="95"/>
      <c r="E1079" s="95"/>
      <c r="F1079" s="95"/>
      <c r="G1079" s="95"/>
      <c r="H1079" s="94"/>
      <c r="I1079" s="36">
        <f>I1080+I1085</f>
        <v>7783.6</v>
      </c>
      <c r="J1079" s="36">
        <f>J1080+J1085</f>
        <v>7783.6</v>
      </c>
      <c r="K1079" s="267">
        <f t="shared" si="181"/>
        <v>0</v>
      </c>
      <c r="L1079" s="36">
        <f>L1080+L1085</f>
        <v>7832.200000000001</v>
      </c>
      <c r="M1079" s="36">
        <f>M1080+M1085</f>
        <v>8077.6</v>
      </c>
    </row>
    <row r="1080" spans="1:13" ht="42.75">
      <c r="A1080" s="127" t="s">
        <v>331</v>
      </c>
      <c r="B1080" s="266" t="s">
        <v>33</v>
      </c>
      <c r="C1080" s="95" t="s">
        <v>48</v>
      </c>
      <c r="D1080" s="67" t="s">
        <v>300</v>
      </c>
      <c r="E1080" s="67" t="s">
        <v>148</v>
      </c>
      <c r="F1080" s="67" t="s">
        <v>149</v>
      </c>
      <c r="G1080" s="67" t="s">
        <v>150</v>
      </c>
      <c r="H1080" s="67"/>
      <c r="I1080" s="36">
        <f aca="true" t="shared" si="182" ref="I1080:M1083">I1081</f>
        <v>19</v>
      </c>
      <c r="J1080" s="36">
        <f t="shared" si="182"/>
        <v>19</v>
      </c>
      <c r="K1080" s="267">
        <f t="shared" si="181"/>
        <v>0</v>
      </c>
      <c r="L1080" s="36">
        <f t="shared" si="182"/>
        <v>19</v>
      </c>
      <c r="M1080" s="36">
        <f t="shared" si="182"/>
        <v>19</v>
      </c>
    </row>
    <row r="1081" spans="1:13" ht="34.5" customHeight="1">
      <c r="A1081" s="124" t="s">
        <v>777</v>
      </c>
      <c r="B1081" s="266" t="s">
        <v>33</v>
      </c>
      <c r="C1081" s="95" t="s">
        <v>48</v>
      </c>
      <c r="D1081" s="67" t="s">
        <v>300</v>
      </c>
      <c r="E1081" s="67" t="s">
        <v>134</v>
      </c>
      <c r="F1081" s="67" t="s">
        <v>149</v>
      </c>
      <c r="G1081" s="67" t="s">
        <v>150</v>
      </c>
      <c r="H1081" s="67"/>
      <c r="I1081" s="36">
        <f t="shared" si="182"/>
        <v>19</v>
      </c>
      <c r="J1081" s="36">
        <f t="shared" si="182"/>
        <v>19</v>
      </c>
      <c r="K1081" s="267">
        <f t="shared" si="181"/>
        <v>0</v>
      </c>
      <c r="L1081" s="36">
        <f t="shared" si="182"/>
        <v>19</v>
      </c>
      <c r="M1081" s="36">
        <f t="shared" si="182"/>
        <v>19</v>
      </c>
    </row>
    <row r="1082" spans="1:13" s="276" customFormat="1" ht="28.5">
      <c r="A1082" s="124" t="s">
        <v>778</v>
      </c>
      <c r="B1082" s="266" t="s">
        <v>33</v>
      </c>
      <c r="C1082" s="95" t="s">
        <v>48</v>
      </c>
      <c r="D1082" s="67" t="s">
        <v>300</v>
      </c>
      <c r="E1082" s="67" t="s">
        <v>134</v>
      </c>
      <c r="F1082" s="67" t="s">
        <v>147</v>
      </c>
      <c r="G1082" s="67" t="s">
        <v>150</v>
      </c>
      <c r="H1082" s="67"/>
      <c r="I1082" s="36">
        <f t="shared" si="182"/>
        <v>19</v>
      </c>
      <c r="J1082" s="36">
        <f t="shared" si="182"/>
        <v>19</v>
      </c>
      <c r="K1082" s="267">
        <f t="shared" si="181"/>
        <v>0</v>
      </c>
      <c r="L1082" s="36">
        <f t="shared" si="182"/>
        <v>19</v>
      </c>
      <c r="M1082" s="36">
        <f t="shared" si="182"/>
        <v>19</v>
      </c>
    </row>
    <row r="1083" spans="1:13" ht="30">
      <c r="A1083" s="115" t="s">
        <v>343</v>
      </c>
      <c r="B1083" s="270" t="s">
        <v>33</v>
      </c>
      <c r="C1083" s="100" t="s">
        <v>48</v>
      </c>
      <c r="D1083" s="99" t="s">
        <v>300</v>
      </c>
      <c r="E1083" s="99" t="s">
        <v>134</v>
      </c>
      <c r="F1083" s="99" t="s">
        <v>147</v>
      </c>
      <c r="G1083" s="99" t="s">
        <v>344</v>
      </c>
      <c r="H1083" s="99"/>
      <c r="I1083" s="74">
        <f t="shared" si="182"/>
        <v>19</v>
      </c>
      <c r="J1083" s="74">
        <f t="shared" si="182"/>
        <v>19</v>
      </c>
      <c r="K1083" s="271">
        <f t="shared" si="181"/>
        <v>0</v>
      </c>
      <c r="L1083" s="74">
        <f t="shared" si="182"/>
        <v>19</v>
      </c>
      <c r="M1083" s="74">
        <f t="shared" si="182"/>
        <v>19</v>
      </c>
    </row>
    <row r="1084" spans="1:13" ht="30">
      <c r="A1084" s="111" t="s">
        <v>683</v>
      </c>
      <c r="B1084" s="270" t="s">
        <v>33</v>
      </c>
      <c r="C1084" s="100" t="s">
        <v>48</v>
      </c>
      <c r="D1084" s="99" t="s">
        <v>300</v>
      </c>
      <c r="E1084" s="99" t="s">
        <v>134</v>
      </c>
      <c r="F1084" s="99" t="s">
        <v>147</v>
      </c>
      <c r="G1084" s="99" t="s">
        <v>344</v>
      </c>
      <c r="H1084" s="99" t="s">
        <v>682</v>
      </c>
      <c r="I1084" s="74">
        <v>19</v>
      </c>
      <c r="J1084" s="74">
        <v>19</v>
      </c>
      <c r="K1084" s="271">
        <f t="shared" si="181"/>
        <v>0</v>
      </c>
      <c r="L1084" s="74">
        <v>19</v>
      </c>
      <c r="M1084" s="74">
        <v>19</v>
      </c>
    </row>
    <row r="1085" spans="1:13" ht="28.5">
      <c r="A1085" s="127" t="s">
        <v>396</v>
      </c>
      <c r="B1085" s="266" t="s">
        <v>33</v>
      </c>
      <c r="C1085" s="95" t="s">
        <v>48</v>
      </c>
      <c r="D1085" s="95" t="s">
        <v>397</v>
      </c>
      <c r="E1085" s="95" t="s">
        <v>148</v>
      </c>
      <c r="F1085" s="95" t="s">
        <v>149</v>
      </c>
      <c r="G1085" s="95" t="s">
        <v>150</v>
      </c>
      <c r="H1085" s="94"/>
      <c r="I1085" s="36">
        <f>I1086+I1096</f>
        <v>7764.6</v>
      </c>
      <c r="J1085" s="36">
        <f>J1086+J1096</f>
        <v>7764.6</v>
      </c>
      <c r="K1085" s="267">
        <f aca="true" t="shared" si="183" ref="K1085:K1106">J1085-I1085</f>
        <v>0</v>
      </c>
      <c r="L1085" s="36">
        <f>L1086+L1096</f>
        <v>7813.200000000001</v>
      </c>
      <c r="M1085" s="36">
        <f>M1086+M1096</f>
        <v>8058.6</v>
      </c>
    </row>
    <row r="1086" spans="1:13" ht="28.5">
      <c r="A1086" s="124" t="s">
        <v>483</v>
      </c>
      <c r="B1086" s="266" t="s">
        <v>33</v>
      </c>
      <c r="C1086" s="95" t="s">
        <v>48</v>
      </c>
      <c r="D1086" s="67" t="s">
        <v>397</v>
      </c>
      <c r="E1086" s="67" t="s">
        <v>134</v>
      </c>
      <c r="F1086" s="67" t="s">
        <v>149</v>
      </c>
      <c r="G1086" s="67" t="s">
        <v>150</v>
      </c>
      <c r="H1086" s="67"/>
      <c r="I1086" s="36">
        <f>I1087</f>
        <v>5139.6</v>
      </c>
      <c r="J1086" s="36">
        <f>J1087</f>
        <v>5139.6</v>
      </c>
      <c r="K1086" s="267">
        <f t="shared" si="183"/>
        <v>0</v>
      </c>
      <c r="L1086" s="36">
        <f>L1087</f>
        <v>5084.200000000001</v>
      </c>
      <c r="M1086" s="36">
        <f>M1087</f>
        <v>5220.6</v>
      </c>
    </row>
    <row r="1087" spans="1:13" ht="15">
      <c r="A1087" s="111" t="s">
        <v>399</v>
      </c>
      <c r="B1087" s="270" t="s">
        <v>33</v>
      </c>
      <c r="C1087" s="100" t="s">
        <v>48</v>
      </c>
      <c r="D1087" s="100" t="s">
        <v>397</v>
      </c>
      <c r="E1087" s="100" t="s">
        <v>134</v>
      </c>
      <c r="F1087" s="100" t="s">
        <v>147</v>
      </c>
      <c r="G1087" s="100" t="s">
        <v>150</v>
      </c>
      <c r="H1087" s="117"/>
      <c r="I1087" s="74">
        <f>I1088+I1092+I1094</f>
        <v>5139.6</v>
      </c>
      <c r="J1087" s="74">
        <f>J1088+J1092+J1094</f>
        <v>5139.6</v>
      </c>
      <c r="K1087" s="271">
        <f t="shared" si="183"/>
        <v>0</v>
      </c>
      <c r="L1087" s="74">
        <f>L1088+L1092+L1094</f>
        <v>5084.200000000001</v>
      </c>
      <c r="M1087" s="74">
        <f>M1088+M1092+M1094</f>
        <v>5220.6</v>
      </c>
    </row>
    <row r="1088" spans="1:13" ht="15">
      <c r="A1088" s="111" t="s">
        <v>400</v>
      </c>
      <c r="B1088" s="270" t="s">
        <v>33</v>
      </c>
      <c r="C1088" s="100" t="s">
        <v>48</v>
      </c>
      <c r="D1088" s="100" t="s">
        <v>397</v>
      </c>
      <c r="E1088" s="100" t="s">
        <v>134</v>
      </c>
      <c r="F1088" s="100" t="s">
        <v>147</v>
      </c>
      <c r="G1088" s="100" t="s">
        <v>401</v>
      </c>
      <c r="H1088" s="117"/>
      <c r="I1088" s="74">
        <f>I1089+I1090+I1091</f>
        <v>4465</v>
      </c>
      <c r="J1088" s="74">
        <f>J1089+J1090+J1091</f>
        <v>4465</v>
      </c>
      <c r="K1088" s="271">
        <f t="shared" si="183"/>
        <v>0</v>
      </c>
      <c r="L1088" s="74">
        <f>L1089+L1090+L1091</f>
        <v>4631.6</v>
      </c>
      <c r="M1088" s="74">
        <f>M1089+M1090+M1091</f>
        <v>4805</v>
      </c>
    </row>
    <row r="1089" spans="1:13" ht="60">
      <c r="A1089" s="111" t="s">
        <v>680</v>
      </c>
      <c r="B1089" s="270" t="s">
        <v>33</v>
      </c>
      <c r="C1089" s="100" t="s">
        <v>48</v>
      </c>
      <c r="D1089" s="100" t="s">
        <v>397</v>
      </c>
      <c r="E1089" s="100" t="s">
        <v>134</v>
      </c>
      <c r="F1089" s="100" t="s">
        <v>147</v>
      </c>
      <c r="G1089" s="100" t="s">
        <v>401</v>
      </c>
      <c r="H1089" s="117">
        <v>100</v>
      </c>
      <c r="I1089" s="74">
        <f>3468+682+20-390-123.6</f>
        <v>3656.4</v>
      </c>
      <c r="J1089" s="74">
        <f>3468+682+20-390-123.6</f>
        <v>3656.4</v>
      </c>
      <c r="K1089" s="271">
        <f t="shared" si="183"/>
        <v>0</v>
      </c>
      <c r="L1089" s="74">
        <v>4316.7</v>
      </c>
      <c r="M1089" s="74">
        <v>4490</v>
      </c>
    </row>
    <row r="1090" spans="1:13" ht="30">
      <c r="A1090" s="111" t="s">
        <v>683</v>
      </c>
      <c r="B1090" s="270" t="s">
        <v>33</v>
      </c>
      <c r="C1090" s="100" t="s">
        <v>48</v>
      </c>
      <c r="D1090" s="100" t="s">
        <v>397</v>
      </c>
      <c r="E1090" s="100" t="s">
        <v>134</v>
      </c>
      <c r="F1090" s="100" t="s">
        <v>147</v>
      </c>
      <c r="G1090" s="100" t="s">
        <v>401</v>
      </c>
      <c r="H1090" s="117">
        <v>200</v>
      </c>
      <c r="I1090" s="74">
        <f>42+3.2+209.5+5+35+390+100+23.6</f>
        <v>808.3000000000001</v>
      </c>
      <c r="J1090" s="74">
        <f>42+3.2+209.5+5+35+390+100+23.6</f>
        <v>808.3000000000001</v>
      </c>
      <c r="K1090" s="271">
        <f t="shared" si="183"/>
        <v>0</v>
      </c>
      <c r="L1090" s="74">
        <v>314.6</v>
      </c>
      <c r="M1090" s="74">
        <v>314.7</v>
      </c>
    </row>
    <row r="1091" spans="1:13" s="268" customFormat="1" ht="15">
      <c r="A1091" s="111" t="s">
        <v>684</v>
      </c>
      <c r="B1091" s="270" t="s">
        <v>33</v>
      </c>
      <c r="C1091" s="100" t="s">
        <v>48</v>
      </c>
      <c r="D1091" s="100" t="s">
        <v>397</v>
      </c>
      <c r="E1091" s="100" t="s">
        <v>134</v>
      </c>
      <c r="F1091" s="100" t="s">
        <v>147</v>
      </c>
      <c r="G1091" s="100" t="s">
        <v>401</v>
      </c>
      <c r="H1091" s="117">
        <v>800</v>
      </c>
      <c r="I1091" s="74">
        <v>0.3</v>
      </c>
      <c r="J1091" s="74">
        <v>0.3</v>
      </c>
      <c r="K1091" s="271">
        <f t="shared" si="183"/>
        <v>0</v>
      </c>
      <c r="L1091" s="74">
        <v>0.3</v>
      </c>
      <c r="M1091" s="74">
        <v>0.3</v>
      </c>
    </row>
    <row r="1092" spans="1:13" s="268" customFormat="1" ht="45">
      <c r="A1092" s="111" t="s">
        <v>409</v>
      </c>
      <c r="B1092" s="270" t="s">
        <v>33</v>
      </c>
      <c r="C1092" s="100" t="s">
        <v>48</v>
      </c>
      <c r="D1092" s="100" t="s">
        <v>397</v>
      </c>
      <c r="E1092" s="100" t="s">
        <v>134</v>
      </c>
      <c r="F1092" s="100" t="s">
        <v>147</v>
      </c>
      <c r="G1092" s="100" t="s">
        <v>410</v>
      </c>
      <c r="H1092" s="117"/>
      <c r="I1092" s="74">
        <f>I1093</f>
        <v>474.59999999999997</v>
      </c>
      <c r="J1092" s="74">
        <f>J1093</f>
        <v>474.59999999999997</v>
      </c>
      <c r="K1092" s="271">
        <f t="shared" si="183"/>
        <v>0</v>
      </c>
      <c r="L1092" s="74">
        <f>L1093</f>
        <v>452.6</v>
      </c>
      <c r="M1092" s="74">
        <f>M1093</f>
        <v>415.6</v>
      </c>
    </row>
    <row r="1093" spans="1:13" s="268" customFormat="1" ht="60">
      <c r="A1093" s="111" t="s">
        <v>680</v>
      </c>
      <c r="B1093" s="270" t="s">
        <v>33</v>
      </c>
      <c r="C1093" s="100" t="s">
        <v>48</v>
      </c>
      <c r="D1093" s="100" t="s">
        <v>397</v>
      </c>
      <c r="E1093" s="100" t="s">
        <v>134</v>
      </c>
      <c r="F1093" s="100" t="s">
        <v>147</v>
      </c>
      <c r="G1093" s="100" t="s">
        <v>410</v>
      </c>
      <c r="H1093" s="117">
        <v>100</v>
      </c>
      <c r="I1093" s="74">
        <f>440.9+33.7</f>
        <v>474.59999999999997</v>
      </c>
      <c r="J1093" s="74">
        <f>440.9+33.7</f>
        <v>474.59999999999997</v>
      </c>
      <c r="K1093" s="271">
        <f t="shared" si="183"/>
        <v>0</v>
      </c>
      <c r="L1093" s="74">
        <f>378.2+74.4</f>
        <v>452.6</v>
      </c>
      <c r="M1093" s="74">
        <f>341.2+74.4</f>
        <v>415.6</v>
      </c>
    </row>
    <row r="1094" spans="1:13" s="269" customFormat="1" ht="45">
      <c r="A1094" s="111" t="s">
        <v>467</v>
      </c>
      <c r="B1094" s="270" t="s">
        <v>33</v>
      </c>
      <c r="C1094" s="100" t="s">
        <v>48</v>
      </c>
      <c r="D1094" s="100" t="s">
        <v>397</v>
      </c>
      <c r="E1094" s="100" t="s">
        <v>134</v>
      </c>
      <c r="F1094" s="100" t="s">
        <v>147</v>
      </c>
      <c r="G1094" s="100" t="s">
        <v>422</v>
      </c>
      <c r="H1094" s="131"/>
      <c r="I1094" s="74">
        <f>I1095</f>
        <v>200</v>
      </c>
      <c r="J1094" s="74">
        <f>J1095</f>
        <v>200</v>
      </c>
      <c r="K1094" s="271">
        <f t="shared" si="183"/>
        <v>0</v>
      </c>
      <c r="L1094" s="74">
        <f>L1095</f>
        <v>0</v>
      </c>
      <c r="M1094" s="74">
        <f>M1095</f>
        <v>0</v>
      </c>
    </row>
    <row r="1095" spans="1:13" s="269" customFormat="1" ht="60">
      <c r="A1095" s="111" t="s">
        <v>680</v>
      </c>
      <c r="B1095" s="270" t="s">
        <v>33</v>
      </c>
      <c r="C1095" s="100" t="s">
        <v>48</v>
      </c>
      <c r="D1095" s="100" t="s">
        <v>397</v>
      </c>
      <c r="E1095" s="100" t="s">
        <v>134</v>
      </c>
      <c r="F1095" s="100" t="s">
        <v>147</v>
      </c>
      <c r="G1095" s="100" t="s">
        <v>422</v>
      </c>
      <c r="H1095" s="131">
        <v>100</v>
      </c>
      <c r="I1095" s="74">
        <v>200</v>
      </c>
      <c r="J1095" s="74">
        <v>200</v>
      </c>
      <c r="K1095" s="271">
        <f t="shared" si="183"/>
        <v>0</v>
      </c>
      <c r="L1095" s="74"/>
      <c r="M1095" s="74"/>
    </row>
    <row r="1096" spans="1:13" ht="28.5">
      <c r="A1096" s="124" t="s">
        <v>423</v>
      </c>
      <c r="B1096" s="266" t="s">
        <v>33</v>
      </c>
      <c r="C1096" s="95" t="s">
        <v>48</v>
      </c>
      <c r="D1096" s="67" t="s">
        <v>397</v>
      </c>
      <c r="E1096" s="67" t="s">
        <v>135</v>
      </c>
      <c r="F1096" s="67" t="s">
        <v>149</v>
      </c>
      <c r="G1096" s="67" t="s">
        <v>150</v>
      </c>
      <c r="H1096" s="67"/>
      <c r="I1096" s="36">
        <f aca="true" t="shared" si="184" ref="I1096:M1098">I1097</f>
        <v>2625</v>
      </c>
      <c r="J1096" s="36">
        <f t="shared" si="184"/>
        <v>2625</v>
      </c>
      <c r="K1096" s="267">
        <f t="shared" si="183"/>
        <v>0</v>
      </c>
      <c r="L1096" s="36">
        <f t="shared" si="184"/>
        <v>2729</v>
      </c>
      <c r="M1096" s="36">
        <f t="shared" si="184"/>
        <v>2838</v>
      </c>
    </row>
    <row r="1097" spans="1:13" ht="15">
      <c r="A1097" s="111" t="s">
        <v>399</v>
      </c>
      <c r="B1097" s="270" t="s">
        <v>33</v>
      </c>
      <c r="C1097" s="100" t="s">
        <v>48</v>
      </c>
      <c r="D1097" s="100" t="s">
        <v>397</v>
      </c>
      <c r="E1097" s="100" t="s">
        <v>135</v>
      </c>
      <c r="F1097" s="100" t="s">
        <v>147</v>
      </c>
      <c r="G1097" s="100" t="s">
        <v>150</v>
      </c>
      <c r="H1097" s="117"/>
      <c r="I1097" s="74">
        <f t="shared" si="184"/>
        <v>2625</v>
      </c>
      <c r="J1097" s="74">
        <f t="shared" si="184"/>
        <v>2625</v>
      </c>
      <c r="K1097" s="271">
        <f t="shared" si="183"/>
        <v>0</v>
      </c>
      <c r="L1097" s="74">
        <f t="shared" si="184"/>
        <v>2729</v>
      </c>
      <c r="M1097" s="74">
        <f t="shared" si="184"/>
        <v>2838</v>
      </c>
    </row>
    <row r="1098" spans="1:13" ht="15">
      <c r="A1098" s="111" t="s">
        <v>400</v>
      </c>
      <c r="B1098" s="270" t="s">
        <v>33</v>
      </c>
      <c r="C1098" s="100" t="s">
        <v>48</v>
      </c>
      <c r="D1098" s="100" t="s">
        <v>397</v>
      </c>
      <c r="E1098" s="100" t="s">
        <v>135</v>
      </c>
      <c r="F1098" s="100" t="s">
        <v>147</v>
      </c>
      <c r="G1098" s="100" t="s">
        <v>401</v>
      </c>
      <c r="H1098" s="117"/>
      <c r="I1098" s="74">
        <f t="shared" si="184"/>
        <v>2625</v>
      </c>
      <c r="J1098" s="74">
        <f t="shared" si="184"/>
        <v>2625</v>
      </c>
      <c r="K1098" s="271">
        <f t="shared" si="183"/>
        <v>0</v>
      </c>
      <c r="L1098" s="74">
        <f t="shared" si="184"/>
        <v>2729</v>
      </c>
      <c r="M1098" s="74">
        <f t="shared" si="184"/>
        <v>2838</v>
      </c>
    </row>
    <row r="1099" spans="1:13" ht="60">
      <c r="A1099" s="111" t="s">
        <v>680</v>
      </c>
      <c r="B1099" s="270" t="s">
        <v>33</v>
      </c>
      <c r="C1099" s="100" t="s">
        <v>48</v>
      </c>
      <c r="D1099" s="100" t="s">
        <v>397</v>
      </c>
      <c r="E1099" s="100" t="s">
        <v>135</v>
      </c>
      <c r="F1099" s="100" t="s">
        <v>147</v>
      </c>
      <c r="G1099" s="100" t="s">
        <v>401</v>
      </c>
      <c r="H1099" s="117">
        <v>100</v>
      </c>
      <c r="I1099" s="74">
        <v>2625</v>
      </c>
      <c r="J1099" s="74">
        <v>2625</v>
      </c>
      <c r="K1099" s="271">
        <f t="shared" si="183"/>
        <v>0</v>
      </c>
      <c r="L1099" s="74">
        <v>2729</v>
      </c>
      <c r="M1099" s="74">
        <v>2838</v>
      </c>
    </row>
    <row r="1100" spans="1:13" s="276" customFormat="1" ht="15">
      <c r="A1100" s="87" t="s">
        <v>51</v>
      </c>
      <c r="B1100" s="266">
        <v>120</v>
      </c>
      <c r="C1100" s="95" t="s">
        <v>52</v>
      </c>
      <c r="D1100" s="95"/>
      <c r="E1100" s="95"/>
      <c r="F1100" s="95"/>
      <c r="G1100" s="95"/>
      <c r="H1100" s="94"/>
      <c r="I1100" s="36">
        <f aca="true" t="shared" si="185" ref="I1100:J1104">I1101</f>
        <v>44</v>
      </c>
      <c r="J1100" s="36">
        <f t="shared" si="185"/>
        <v>44</v>
      </c>
      <c r="K1100" s="271">
        <f t="shared" si="183"/>
        <v>0</v>
      </c>
      <c r="L1100" s="36">
        <f aca="true" t="shared" si="186" ref="L1100:M1104">L1101</f>
        <v>44</v>
      </c>
      <c r="M1100" s="36">
        <f t="shared" si="186"/>
        <v>44</v>
      </c>
    </row>
    <row r="1101" spans="1:13" s="276" customFormat="1" ht="42.75">
      <c r="A1101" s="110" t="s">
        <v>331</v>
      </c>
      <c r="B1101" s="266">
        <v>120</v>
      </c>
      <c r="C1101" s="95" t="s">
        <v>52</v>
      </c>
      <c r="D1101" s="95" t="s">
        <v>300</v>
      </c>
      <c r="E1101" s="95" t="s">
        <v>148</v>
      </c>
      <c r="F1101" s="95" t="s">
        <v>149</v>
      </c>
      <c r="G1101" s="95" t="s">
        <v>150</v>
      </c>
      <c r="H1101" s="94"/>
      <c r="I1101" s="36">
        <f t="shared" si="185"/>
        <v>44</v>
      </c>
      <c r="J1101" s="36">
        <f t="shared" si="185"/>
        <v>44</v>
      </c>
      <c r="K1101" s="271">
        <f t="shared" si="183"/>
        <v>0</v>
      </c>
      <c r="L1101" s="36">
        <f t="shared" si="186"/>
        <v>44</v>
      </c>
      <c r="M1101" s="36">
        <f t="shared" si="186"/>
        <v>44</v>
      </c>
    </row>
    <row r="1102" spans="1:13" s="276" customFormat="1" ht="38.25" customHeight="1">
      <c r="A1102" s="97" t="s">
        <v>777</v>
      </c>
      <c r="B1102" s="266">
        <v>120</v>
      </c>
      <c r="C1102" s="95" t="s">
        <v>52</v>
      </c>
      <c r="D1102" s="95" t="s">
        <v>300</v>
      </c>
      <c r="E1102" s="95" t="s">
        <v>134</v>
      </c>
      <c r="F1102" s="95" t="s">
        <v>149</v>
      </c>
      <c r="G1102" s="95" t="s">
        <v>150</v>
      </c>
      <c r="H1102" s="94"/>
      <c r="I1102" s="36">
        <f t="shared" si="185"/>
        <v>44</v>
      </c>
      <c r="J1102" s="36">
        <f t="shared" si="185"/>
        <v>44</v>
      </c>
      <c r="K1102" s="271">
        <f t="shared" si="183"/>
        <v>0</v>
      </c>
      <c r="L1102" s="36">
        <f t="shared" si="186"/>
        <v>44</v>
      </c>
      <c r="M1102" s="36">
        <f t="shared" si="186"/>
        <v>44</v>
      </c>
    </row>
    <row r="1103" spans="1:13" ht="28.5">
      <c r="A1103" s="97" t="s">
        <v>778</v>
      </c>
      <c r="B1103" s="266">
        <v>120</v>
      </c>
      <c r="C1103" s="95" t="s">
        <v>52</v>
      </c>
      <c r="D1103" s="95" t="s">
        <v>300</v>
      </c>
      <c r="E1103" s="95" t="s">
        <v>134</v>
      </c>
      <c r="F1103" s="95" t="s">
        <v>147</v>
      </c>
      <c r="G1103" s="95" t="s">
        <v>150</v>
      </c>
      <c r="H1103" s="94"/>
      <c r="I1103" s="36">
        <f t="shared" si="185"/>
        <v>44</v>
      </c>
      <c r="J1103" s="36">
        <f t="shared" si="185"/>
        <v>44</v>
      </c>
      <c r="K1103" s="271">
        <f t="shared" si="183"/>
        <v>0</v>
      </c>
      <c r="L1103" s="36">
        <f t="shared" si="186"/>
        <v>44</v>
      </c>
      <c r="M1103" s="36">
        <f t="shared" si="186"/>
        <v>44</v>
      </c>
    </row>
    <row r="1104" spans="1:13" ht="30">
      <c r="A1104" s="102" t="s">
        <v>779</v>
      </c>
      <c r="B1104" s="270">
        <v>120</v>
      </c>
      <c r="C1104" s="100" t="s">
        <v>52</v>
      </c>
      <c r="D1104" s="100" t="s">
        <v>300</v>
      </c>
      <c r="E1104" s="100" t="s">
        <v>134</v>
      </c>
      <c r="F1104" s="100" t="s">
        <v>147</v>
      </c>
      <c r="G1104" s="100" t="s">
        <v>342</v>
      </c>
      <c r="H1104" s="117"/>
      <c r="I1104" s="74">
        <f t="shared" si="185"/>
        <v>44</v>
      </c>
      <c r="J1104" s="74">
        <f t="shared" si="185"/>
        <v>44</v>
      </c>
      <c r="K1104" s="271">
        <f t="shared" si="183"/>
        <v>0</v>
      </c>
      <c r="L1104" s="74">
        <f t="shared" si="186"/>
        <v>44</v>
      </c>
      <c r="M1104" s="74">
        <f t="shared" si="186"/>
        <v>44</v>
      </c>
    </row>
    <row r="1105" spans="1:13" ht="30">
      <c r="A1105" s="102" t="s">
        <v>683</v>
      </c>
      <c r="B1105" s="270">
        <v>120</v>
      </c>
      <c r="C1105" s="100" t="s">
        <v>52</v>
      </c>
      <c r="D1105" s="100" t="s">
        <v>300</v>
      </c>
      <c r="E1105" s="100" t="s">
        <v>134</v>
      </c>
      <c r="F1105" s="100" t="s">
        <v>147</v>
      </c>
      <c r="G1105" s="100" t="s">
        <v>342</v>
      </c>
      <c r="H1105" s="117">
        <v>200</v>
      </c>
      <c r="I1105" s="74">
        <v>44</v>
      </c>
      <c r="J1105" s="74">
        <v>44</v>
      </c>
      <c r="K1105" s="271">
        <f t="shared" si="183"/>
        <v>0</v>
      </c>
      <c r="L1105" s="74">
        <v>44</v>
      </c>
      <c r="M1105" s="74">
        <v>44</v>
      </c>
    </row>
    <row r="1106" spans="1:13" ht="15">
      <c r="A1106" s="407" t="s">
        <v>931</v>
      </c>
      <c r="B1106" s="408"/>
      <c r="C1106" s="408"/>
      <c r="D1106" s="408"/>
      <c r="E1106" s="408"/>
      <c r="F1106" s="408"/>
      <c r="G1106" s="408"/>
      <c r="H1106" s="409"/>
      <c r="I1106" s="36">
        <f>I13+I577+I714+I764+I805+I845+I1077</f>
        <v>3084612</v>
      </c>
      <c r="J1106" s="36">
        <f>J13+J577+J714+J764+J805+J845+J1077</f>
        <v>3121105.5</v>
      </c>
      <c r="K1106" s="267">
        <f t="shared" si="183"/>
        <v>36493.5</v>
      </c>
      <c r="L1106" s="36">
        <f>L13+L577+L714+L764+L805+L845+L1077</f>
        <v>2951415.150000001</v>
      </c>
      <c r="M1106" s="36">
        <f>M13+M577+M714+M764+M805+M845+M1077</f>
        <v>2943403.6000000006</v>
      </c>
    </row>
    <row r="1107" spans="1:13" ht="15">
      <c r="A1107" s="395" t="s">
        <v>929</v>
      </c>
      <c r="B1107" s="410"/>
      <c r="C1107" s="410"/>
      <c r="D1107" s="410"/>
      <c r="E1107" s="410"/>
      <c r="F1107" s="410"/>
      <c r="G1107" s="410"/>
      <c r="H1107" s="411"/>
      <c r="I1107" s="275"/>
      <c r="J1107" s="290"/>
      <c r="K1107" s="267"/>
      <c r="L1107" s="119">
        <v>25500</v>
      </c>
      <c r="M1107" s="119">
        <v>53500</v>
      </c>
    </row>
    <row r="1108" spans="1:13" s="276" customFormat="1" ht="15">
      <c r="A1108" s="398" t="s">
        <v>930</v>
      </c>
      <c r="B1108" s="410"/>
      <c r="C1108" s="410"/>
      <c r="D1108" s="410"/>
      <c r="E1108" s="410"/>
      <c r="F1108" s="410"/>
      <c r="G1108" s="410"/>
      <c r="H1108" s="411"/>
      <c r="I1108" s="84">
        <f>SUM(I1106:I1107)</f>
        <v>3084612</v>
      </c>
      <c r="J1108" s="84">
        <f>SUM(J1106:J1107)</f>
        <v>3121105.5</v>
      </c>
      <c r="K1108" s="267">
        <f>J1108-I1108</f>
        <v>36493.5</v>
      </c>
      <c r="L1108" s="84">
        <f>SUM(L1106:L1107)</f>
        <v>2976915.150000001</v>
      </c>
      <c r="M1108" s="84">
        <f>SUM(M1106:M1107)</f>
        <v>2996903.6000000006</v>
      </c>
    </row>
  </sheetData>
  <sheetProtection/>
  <autoFilter ref="A12:M1108"/>
  <mergeCells count="5">
    <mergeCell ref="A8:M8"/>
    <mergeCell ref="D11:G11"/>
    <mergeCell ref="A1106:H1106"/>
    <mergeCell ref="A1107:H1107"/>
    <mergeCell ref="A1108:H1108"/>
  </mergeCells>
  <printOptions/>
  <pageMargins left="0.7086614173228347" right="0" top="0.5511811023622047" bottom="0.35433070866141736" header="0.31496062992125984" footer="0.31496062992125984"/>
  <pageSetup fitToHeight="43" horizontalDpi="600" verticalDpi="600" orientation="portrait" paperSize="9" scale="55" r:id="rId1"/>
  <headerFooter differentFirst="1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="80" zoomScaleNormal="80" zoomScalePageLayoutView="0" workbookViewId="0" topLeftCell="A1">
      <selection activeCell="B14" sqref="B14:O14"/>
    </sheetView>
  </sheetViews>
  <sheetFormatPr defaultColWidth="10.140625" defaultRowHeight="15"/>
  <cols>
    <col min="1" max="1" width="3.8515625" style="210" customWidth="1"/>
    <col min="2" max="2" width="52.28125" style="211" customWidth="1"/>
    <col min="3" max="3" width="8.28125" style="145" hidden="1" customWidth="1"/>
    <col min="4" max="4" width="6.7109375" style="145" customWidth="1"/>
    <col min="5" max="5" width="12.57421875" style="246" customWidth="1"/>
    <col min="6" max="6" width="10.421875" style="246" customWidth="1"/>
    <col min="7" max="7" width="10.28125" style="246" customWidth="1"/>
    <col min="8" max="9" width="10.00390625" style="246" customWidth="1"/>
    <col min="10" max="12" width="11.8515625" style="246" customWidth="1"/>
    <col min="13" max="14" width="11.57421875" style="246" customWidth="1"/>
    <col min="15" max="15" width="30.00390625" style="318" customWidth="1"/>
    <col min="16" max="16" width="20.57421875" style="149" hidden="1" customWidth="1"/>
    <col min="17" max="17" width="10.140625" style="145" customWidth="1"/>
    <col min="18" max="18" width="22.28125" style="145" customWidth="1"/>
    <col min="19" max="16384" width="10.140625" style="145" customWidth="1"/>
  </cols>
  <sheetData>
    <row r="1" spans="1:16" s="209" customFormat="1" ht="15">
      <c r="A1" s="156"/>
      <c r="B1" s="155"/>
      <c r="C1" s="154"/>
      <c r="D1" s="154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7" t="s">
        <v>0</v>
      </c>
      <c r="P1" s="208"/>
    </row>
    <row r="2" spans="1:16" s="209" customFormat="1" ht="15">
      <c r="A2" s="156"/>
      <c r="B2" s="155"/>
      <c r="C2" s="154"/>
      <c r="D2" s="154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 t="s">
        <v>881</v>
      </c>
      <c r="P2" s="208"/>
    </row>
    <row r="3" spans="1:16" s="209" customFormat="1" ht="15">
      <c r="A3" s="156"/>
      <c r="B3" s="155"/>
      <c r="C3" s="154"/>
      <c r="D3" s="154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7" t="s">
        <v>2</v>
      </c>
      <c r="P3" s="208"/>
    </row>
    <row r="4" spans="1:16" s="209" customFormat="1" ht="15">
      <c r="A4" s="156"/>
      <c r="B4" s="155"/>
      <c r="C4" s="154"/>
      <c r="D4" s="154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7" t="s">
        <v>1161</v>
      </c>
      <c r="P4" s="208"/>
    </row>
    <row r="5" spans="1:16" s="209" customFormat="1" ht="15">
      <c r="A5" s="156"/>
      <c r="B5" s="155"/>
      <c r="C5" s="154"/>
      <c r="D5" s="154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7" t="s">
        <v>1028</v>
      </c>
      <c r="P5" s="208"/>
    </row>
    <row r="6" spans="1:16" s="209" customFormat="1" ht="15">
      <c r="A6" s="156"/>
      <c r="B6" s="155"/>
      <c r="C6" s="154"/>
      <c r="D6" s="154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312"/>
      <c r="P6" s="208"/>
    </row>
    <row r="7" spans="3:15" ht="15">
      <c r="C7" s="161"/>
      <c r="D7" s="161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313"/>
    </row>
    <row r="8" spans="1:15" ht="25.5" customHeight="1">
      <c r="A8" s="438" t="s">
        <v>1022</v>
      </c>
      <c r="B8" s="438"/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</row>
    <row r="10" spans="1:15" ht="15">
      <c r="A10" s="213"/>
      <c r="B10" s="214"/>
      <c r="C10" s="215"/>
      <c r="D10" s="215"/>
      <c r="E10" s="310"/>
      <c r="F10" s="216"/>
      <c r="G10" s="216"/>
      <c r="H10" s="216"/>
      <c r="I10" s="216"/>
      <c r="J10" s="216"/>
      <c r="K10" s="216"/>
      <c r="L10" s="216"/>
      <c r="M10" s="216"/>
      <c r="N10" s="216"/>
      <c r="O10" s="86" t="s">
        <v>723</v>
      </c>
    </row>
    <row r="11" spans="1:16" s="143" customFormat="1" ht="20.25" customHeight="1">
      <c r="A11" s="346" t="s">
        <v>722</v>
      </c>
      <c r="B11" s="346" t="s">
        <v>882</v>
      </c>
      <c r="C11" s="346" t="s">
        <v>883</v>
      </c>
      <c r="D11" s="429" t="s">
        <v>884</v>
      </c>
      <c r="E11" s="439" t="s">
        <v>1015</v>
      </c>
      <c r="F11" s="436" t="s">
        <v>1025</v>
      </c>
      <c r="G11" s="434" t="s">
        <v>885</v>
      </c>
      <c r="H11" s="435"/>
      <c r="I11" s="436" t="s">
        <v>1079</v>
      </c>
      <c r="J11" s="434" t="s">
        <v>885</v>
      </c>
      <c r="K11" s="435"/>
      <c r="L11" s="436" t="s">
        <v>1080</v>
      </c>
      <c r="M11" s="434" t="s">
        <v>885</v>
      </c>
      <c r="N11" s="435"/>
      <c r="O11" s="422" t="s">
        <v>1026</v>
      </c>
      <c r="P11" s="429" t="s">
        <v>886</v>
      </c>
    </row>
    <row r="12" spans="1:16" s="143" customFormat="1" ht="44.25" customHeight="1">
      <c r="A12" s="346"/>
      <c r="B12" s="346"/>
      <c r="C12" s="346"/>
      <c r="D12" s="430"/>
      <c r="E12" s="439"/>
      <c r="F12" s="437"/>
      <c r="G12" s="91" t="s">
        <v>887</v>
      </c>
      <c r="H12" s="91" t="s">
        <v>888</v>
      </c>
      <c r="I12" s="437"/>
      <c r="J12" s="91" t="s">
        <v>887</v>
      </c>
      <c r="K12" s="91" t="s">
        <v>888</v>
      </c>
      <c r="L12" s="437"/>
      <c r="M12" s="91" t="s">
        <v>887</v>
      </c>
      <c r="N12" s="91" t="s">
        <v>888</v>
      </c>
      <c r="O12" s="423"/>
      <c r="P12" s="430"/>
    </row>
    <row r="13" spans="1:16" ht="21" customHeight="1">
      <c r="A13" s="413" t="s">
        <v>205</v>
      </c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5"/>
      <c r="P13" s="70"/>
    </row>
    <row r="14" spans="1:16" ht="24" customHeight="1">
      <c r="A14" s="218"/>
      <c r="B14" s="414" t="s">
        <v>221</v>
      </c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5"/>
      <c r="P14" s="70"/>
    </row>
    <row r="15" spans="1:18" ht="50.25" customHeight="1">
      <c r="A15" s="219">
        <v>1</v>
      </c>
      <c r="B15" s="170" t="s">
        <v>889</v>
      </c>
      <c r="C15" s="245"/>
      <c r="D15" s="219" t="s">
        <v>1040</v>
      </c>
      <c r="E15" s="307">
        <f>341500+3.8+1300+70</f>
        <v>342873.8</v>
      </c>
      <c r="F15" s="307">
        <f>G15+H15</f>
        <v>29435.9</v>
      </c>
      <c r="G15" s="307">
        <f>1142.9+3.8+1300+70</f>
        <v>2516.7</v>
      </c>
      <c r="H15" s="323">
        <f>13143.1+13776.1</f>
        <v>26919.2</v>
      </c>
      <c r="I15" s="323">
        <f>J15+K15</f>
        <v>162999</v>
      </c>
      <c r="J15" s="232">
        <f>12388+651.9</f>
        <v>13039.9</v>
      </c>
      <c r="K15" s="232">
        <v>149959.1</v>
      </c>
      <c r="L15" s="232">
        <f>M15+N15</f>
        <v>150438.9</v>
      </c>
      <c r="M15" s="232">
        <f>12480+657.2</f>
        <v>13137.2</v>
      </c>
      <c r="N15" s="232">
        <f>151077.8-13776.1</f>
        <v>137301.69999999998</v>
      </c>
      <c r="O15" s="89" t="s">
        <v>1055</v>
      </c>
      <c r="P15" s="70"/>
      <c r="R15" s="148"/>
    </row>
    <row r="16" spans="1:16" ht="15.75" customHeight="1">
      <c r="A16" s="90"/>
      <c r="B16" s="220" t="s">
        <v>890</v>
      </c>
      <c r="C16" s="220"/>
      <c r="D16" s="220"/>
      <c r="E16" s="221">
        <f>E15</f>
        <v>342873.8</v>
      </c>
      <c r="F16" s="221">
        <f>G16+H16</f>
        <v>29435.9</v>
      </c>
      <c r="G16" s="221">
        <f aca="true" t="shared" si="0" ref="G16:N17">G15</f>
        <v>2516.7</v>
      </c>
      <c r="H16" s="221">
        <f t="shared" si="0"/>
        <v>26919.2</v>
      </c>
      <c r="I16" s="221">
        <f t="shared" si="0"/>
        <v>162999</v>
      </c>
      <c r="J16" s="221">
        <f t="shared" si="0"/>
        <v>13039.9</v>
      </c>
      <c r="K16" s="221">
        <f t="shared" si="0"/>
        <v>149959.1</v>
      </c>
      <c r="L16" s="221">
        <f t="shared" si="0"/>
        <v>150438.9</v>
      </c>
      <c r="M16" s="221">
        <f t="shared" si="0"/>
        <v>13137.2</v>
      </c>
      <c r="N16" s="221">
        <f t="shared" si="0"/>
        <v>137301.69999999998</v>
      </c>
      <c r="O16" s="314"/>
      <c r="P16" s="70"/>
    </row>
    <row r="17" spans="1:16" ht="15">
      <c r="A17" s="90"/>
      <c r="B17" s="220" t="s">
        <v>891</v>
      </c>
      <c r="C17" s="220"/>
      <c r="D17" s="220"/>
      <c r="E17" s="221">
        <f>E16</f>
        <v>342873.8</v>
      </c>
      <c r="F17" s="221">
        <f>G17+H17</f>
        <v>29435.9</v>
      </c>
      <c r="G17" s="221">
        <f t="shared" si="0"/>
        <v>2516.7</v>
      </c>
      <c r="H17" s="221">
        <f t="shared" si="0"/>
        <v>26919.2</v>
      </c>
      <c r="I17" s="221">
        <f t="shared" si="0"/>
        <v>162999</v>
      </c>
      <c r="J17" s="221">
        <f t="shared" si="0"/>
        <v>13039.9</v>
      </c>
      <c r="K17" s="221">
        <f t="shared" si="0"/>
        <v>149959.1</v>
      </c>
      <c r="L17" s="221">
        <f t="shared" si="0"/>
        <v>150438.9</v>
      </c>
      <c r="M17" s="221">
        <f t="shared" si="0"/>
        <v>13137.2</v>
      </c>
      <c r="N17" s="221">
        <f t="shared" si="0"/>
        <v>137301.69999999998</v>
      </c>
      <c r="O17" s="314"/>
      <c r="P17" s="70"/>
    </row>
    <row r="18" spans="1:16" ht="18.75" customHeight="1">
      <c r="A18" s="426" t="s">
        <v>892</v>
      </c>
      <c r="B18" s="427"/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8"/>
      <c r="P18" s="70"/>
    </row>
    <row r="19" spans="1:16" ht="24" customHeight="1">
      <c r="A19" s="431" t="s">
        <v>138</v>
      </c>
      <c r="B19" s="432"/>
      <c r="C19" s="432"/>
      <c r="D19" s="432"/>
      <c r="E19" s="432"/>
      <c r="F19" s="432"/>
      <c r="G19" s="432"/>
      <c r="H19" s="432"/>
      <c r="I19" s="432"/>
      <c r="J19" s="432"/>
      <c r="K19" s="432"/>
      <c r="L19" s="432"/>
      <c r="M19" s="432"/>
      <c r="N19" s="432"/>
      <c r="O19" s="433"/>
      <c r="P19" s="70"/>
    </row>
    <row r="20" spans="1:16" ht="36.75" customHeight="1">
      <c r="A20" s="217">
        <v>2</v>
      </c>
      <c r="B20" s="222" t="s">
        <v>893</v>
      </c>
      <c r="C20" s="223" t="s">
        <v>894</v>
      </c>
      <c r="D20" s="219" t="s">
        <v>1113</v>
      </c>
      <c r="E20" s="147">
        <f>4818+43360.5+14409.6+1601.1</f>
        <v>64189.2</v>
      </c>
      <c r="F20" s="233">
        <f aca="true" t="shared" si="1" ref="F20:F31">G20+H20</f>
        <v>48178.5</v>
      </c>
      <c r="G20" s="225">
        <v>4818</v>
      </c>
      <c r="H20" s="225">
        <v>43360.5</v>
      </c>
      <c r="I20" s="225">
        <f>J20+K20</f>
        <v>16010.7</v>
      </c>
      <c r="J20" s="225">
        <v>1601.1</v>
      </c>
      <c r="K20" s="225">
        <v>14409.6</v>
      </c>
      <c r="L20" s="225">
        <f>M20+N20</f>
        <v>0</v>
      </c>
      <c r="M20" s="225"/>
      <c r="N20" s="225"/>
      <c r="O20" s="234" t="s">
        <v>1074</v>
      </c>
      <c r="P20" s="70"/>
    </row>
    <row r="21" spans="1:16" ht="26.25" customHeight="1">
      <c r="A21" s="217">
        <v>3</v>
      </c>
      <c r="B21" s="222" t="s">
        <v>895</v>
      </c>
      <c r="C21" s="223"/>
      <c r="D21" s="219">
        <v>2020</v>
      </c>
      <c r="E21" s="309">
        <v>600</v>
      </c>
      <c r="F21" s="224">
        <f t="shared" si="1"/>
        <v>0</v>
      </c>
      <c r="G21" s="226"/>
      <c r="H21" s="226"/>
      <c r="I21" s="225">
        <f aca="true" t="shared" si="2" ref="I21:I31">J21+K21</f>
        <v>0</v>
      </c>
      <c r="J21" s="226"/>
      <c r="K21" s="226"/>
      <c r="L21" s="225">
        <f aca="true" t="shared" si="3" ref="L21:L31">M21+N21</f>
        <v>0</v>
      </c>
      <c r="M21" s="226"/>
      <c r="N21" s="226"/>
      <c r="O21" s="234" t="s">
        <v>1058</v>
      </c>
      <c r="P21" s="70"/>
    </row>
    <row r="22" spans="1:16" ht="30" customHeight="1">
      <c r="A22" s="217">
        <v>4</v>
      </c>
      <c r="B22" s="227" t="s">
        <v>896</v>
      </c>
      <c r="C22" s="223"/>
      <c r="D22" s="219" t="s">
        <v>1113</v>
      </c>
      <c r="E22" s="147">
        <f>2000+2309.3</f>
        <v>4309.3</v>
      </c>
      <c r="F22" s="224">
        <f t="shared" si="1"/>
        <v>1487.7</v>
      </c>
      <c r="G22" s="225">
        <f>1137.7+350</f>
        <v>1487.7</v>
      </c>
      <c r="H22" s="226"/>
      <c r="I22" s="225">
        <f t="shared" si="2"/>
        <v>2309.3</v>
      </c>
      <c r="J22" s="225">
        <v>2309.3</v>
      </c>
      <c r="K22" s="226"/>
      <c r="L22" s="225">
        <f t="shared" si="3"/>
        <v>0</v>
      </c>
      <c r="M22" s="226"/>
      <c r="N22" s="226"/>
      <c r="O22" s="234" t="s">
        <v>1058</v>
      </c>
      <c r="P22" s="70"/>
    </row>
    <row r="23" spans="1:16" ht="24" customHeight="1">
      <c r="A23" s="217">
        <v>5</v>
      </c>
      <c r="B23" s="227" t="s">
        <v>1007</v>
      </c>
      <c r="C23" s="223"/>
      <c r="D23" s="219">
        <v>2020</v>
      </c>
      <c r="E23" s="147">
        <v>4000</v>
      </c>
      <c r="F23" s="224">
        <f t="shared" si="1"/>
        <v>625</v>
      </c>
      <c r="G23" s="225">
        <f>1000-375</f>
        <v>625</v>
      </c>
      <c r="H23" s="226"/>
      <c r="I23" s="225">
        <f t="shared" si="2"/>
        <v>0</v>
      </c>
      <c r="J23" s="226"/>
      <c r="K23" s="226"/>
      <c r="L23" s="225">
        <f t="shared" si="3"/>
        <v>0</v>
      </c>
      <c r="M23" s="226"/>
      <c r="N23" s="226"/>
      <c r="O23" s="234" t="s">
        <v>1058</v>
      </c>
      <c r="P23" s="70"/>
    </row>
    <row r="24" spans="1:16" ht="27" customHeight="1">
      <c r="A24" s="217">
        <v>6</v>
      </c>
      <c r="B24" s="227" t="s">
        <v>897</v>
      </c>
      <c r="C24" s="223"/>
      <c r="D24" s="219">
        <v>2020</v>
      </c>
      <c r="E24" s="309">
        <v>2000</v>
      </c>
      <c r="F24" s="224">
        <f t="shared" si="1"/>
        <v>0</v>
      </c>
      <c r="G24" s="226"/>
      <c r="H24" s="226"/>
      <c r="I24" s="225">
        <f t="shared" si="2"/>
        <v>0</v>
      </c>
      <c r="J24" s="226"/>
      <c r="K24" s="226"/>
      <c r="L24" s="225">
        <f t="shared" si="3"/>
        <v>0</v>
      </c>
      <c r="M24" s="226"/>
      <c r="N24" s="226"/>
      <c r="O24" s="234" t="s">
        <v>1058</v>
      </c>
      <c r="P24" s="70"/>
    </row>
    <row r="25" spans="1:16" ht="33.75" customHeight="1">
      <c r="A25" s="217">
        <v>7</v>
      </c>
      <c r="B25" s="222" t="s">
        <v>898</v>
      </c>
      <c r="C25" s="223"/>
      <c r="D25" s="219" t="s">
        <v>1113</v>
      </c>
      <c r="E25" s="147">
        <f>2000+2300</f>
        <v>4300</v>
      </c>
      <c r="F25" s="224">
        <f t="shared" si="1"/>
        <v>594.7</v>
      </c>
      <c r="G25" s="225">
        <f>1168-75.3-498</f>
        <v>594.7</v>
      </c>
      <c r="H25" s="226"/>
      <c r="I25" s="225">
        <f t="shared" si="2"/>
        <v>0</v>
      </c>
      <c r="J25" s="226"/>
      <c r="K25" s="226"/>
      <c r="L25" s="225">
        <f t="shared" si="3"/>
        <v>2300</v>
      </c>
      <c r="M25" s="225">
        <v>2300</v>
      </c>
      <c r="N25" s="226"/>
      <c r="O25" s="234" t="s">
        <v>1058</v>
      </c>
      <c r="P25" s="70"/>
    </row>
    <row r="26" spans="1:16" ht="23.25" customHeight="1">
      <c r="A26" s="217">
        <v>8</v>
      </c>
      <c r="B26" s="227" t="s">
        <v>997</v>
      </c>
      <c r="C26" s="223"/>
      <c r="D26" s="219">
        <v>2020</v>
      </c>
      <c r="E26" s="147">
        <v>3071.1</v>
      </c>
      <c r="F26" s="224">
        <f t="shared" si="1"/>
        <v>1656.5</v>
      </c>
      <c r="G26" s="225">
        <f>3071.1-1427.3+7.2+5.5</f>
        <v>1656.5</v>
      </c>
      <c r="H26" s="226"/>
      <c r="I26" s="225">
        <f t="shared" si="2"/>
        <v>0</v>
      </c>
      <c r="J26" s="226"/>
      <c r="K26" s="226"/>
      <c r="L26" s="225">
        <f t="shared" si="3"/>
        <v>0</v>
      </c>
      <c r="M26" s="226"/>
      <c r="N26" s="226"/>
      <c r="O26" s="234" t="s">
        <v>1058</v>
      </c>
      <c r="P26" s="70"/>
    </row>
    <row r="27" spans="1:16" ht="24.75" customHeight="1">
      <c r="A27" s="217">
        <v>9</v>
      </c>
      <c r="B27" s="227" t="s">
        <v>1008</v>
      </c>
      <c r="C27" s="223"/>
      <c r="D27" s="219">
        <v>2020</v>
      </c>
      <c r="E27" s="225">
        <v>600</v>
      </c>
      <c r="F27" s="224">
        <f t="shared" si="1"/>
        <v>362.4</v>
      </c>
      <c r="G27" s="225">
        <v>362.4</v>
      </c>
      <c r="H27" s="226"/>
      <c r="I27" s="225">
        <f t="shared" si="2"/>
        <v>0</v>
      </c>
      <c r="J27" s="226"/>
      <c r="K27" s="226"/>
      <c r="L27" s="225">
        <f>M27+N27</f>
        <v>0</v>
      </c>
      <c r="M27" s="226"/>
      <c r="N27" s="226"/>
      <c r="O27" s="234" t="s">
        <v>1058</v>
      </c>
      <c r="P27" s="70"/>
    </row>
    <row r="28" spans="1:16" ht="36" customHeight="1">
      <c r="A28" s="217">
        <v>10</v>
      </c>
      <c r="B28" s="70" t="s">
        <v>899</v>
      </c>
      <c r="C28" s="223"/>
      <c r="D28" s="219">
        <v>2020</v>
      </c>
      <c r="E28" s="225">
        <v>80</v>
      </c>
      <c r="F28" s="224">
        <f t="shared" si="1"/>
        <v>80</v>
      </c>
      <c r="G28" s="225">
        <v>80</v>
      </c>
      <c r="H28" s="226"/>
      <c r="I28" s="225">
        <f t="shared" si="2"/>
        <v>0</v>
      </c>
      <c r="J28" s="226"/>
      <c r="K28" s="226"/>
      <c r="L28" s="225">
        <f>M28+N28</f>
        <v>0</v>
      </c>
      <c r="M28" s="226"/>
      <c r="N28" s="226"/>
      <c r="O28" s="234" t="s">
        <v>1058</v>
      </c>
      <c r="P28" s="70"/>
    </row>
    <row r="29" spans="1:16" ht="32.25" customHeight="1">
      <c r="A29" s="217">
        <v>11</v>
      </c>
      <c r="B29" s="227" t="s">
        <v>903</v>
      </c>
      <c r="C29" s="223"/>
      <c r="D29" s="219">
        <v>2020</v>
      </c>
      <c r="E29" s="225">
        <f>145.5-5.5</f>
        <v>140</v>
      </c>
      <c r="F29" s="224">
        <f t="shared" si="1"/>
        <v>140</v>
      </c>
      <c r="G29" s="225">
        <f>145.5-5.5</f>
        <v>140</v>
      </c>
      <c r="H29" s="226"/>
      <c r="I29" s="225">
        <f t="shared" si="2"/>
        <v>0</v>
      </c>
      <c r="J29" s="226"/>
      <c r="K29" s="226"/>
      <c r="L29" s="225">
        <f>M29+N29</f>
        <v>0</v>
      </c>
      <c r="M29" s="226"/>
      <c r="N29" s="226"/>
      <c r="O29" s="234" t="s">
        <v>1058</v>
      </c>
      <c r="P29" s="70"/>
    </row>
    <row r="30" spans="1:16" ht="32.25" customHeight="1">
      <c r="A30" s="217">
        <v>12</v>
      </c>
      <c r="B30" s="227" t="s">
        <v>1081</v>
      </c>
      <c r="C30" s="223"/>
      <c r="D30" s="219">
        <v>2020</v>
      </c>
      <c r="E30" s="225">
        <v>317</v>
      </c>
      <c r="F30" s="224">
        <f t="shared" si="1"/>
        <v>317</v>
      </c>
      <c r="G30" s="225">
        <v>317</v>
      </c>
      <c r="H30" s="226"/>
      <c r="I30" s="225">
        <f t="shared" si="2"/>
        <v>0</v>
      </c>
      <c r="J30" s="226"/>
      <c r="K30" s="226"/>
      <c r="L30" s="225">
        <f>M30+N30</f>
        <v>0</v>
      </c>
      <c r="M30" s="226"/>
      <c r="N30" s="226"/>
      <c r="O30" s="234" t="s">
        <v>1058</v>
      </c>
      <c r="P30" s="70"/>
    </row>
    <row r="31" spans="1:16" ht="31.5" customHeight="1">
      <c r="A31" s="217">
        <v>13</v>
      </c>
      <c r="B31" s="222" t="s">
        <v>1049</v>
      </c>
      <c r="C31" s="223"/>
      <c r="D31" s="219">
        <v>2020</v>
      </c>
      <c r="E31" s="147">
        <v>1400</v>
      </c>
      <c r="F31" s="224">
        <f t="shared" si="1"/>
        <v>0</v>
      </c>
      <c r="G31" s="226"/>
      <c r="H31" s="226"/>
      <c r="I31" s="225">
        <f t="shared" si="2"/>
        <v>0</v>
      </c>
      <c r="J31" s="226"/>
      <c r="K31" s="226"/>
      <c r="L31" s="225">
        <f t="shared" si="3"/>
        <v>0</v>
      </c>
      <c r="M31" s="226"/>
      <c r="N31" s="226"/>
      <c r="O31" s="234" t="s">
        <v>1058</v>
      </c>
      <c r="P31" s="70"/>
    </row>
    <row r="32" spans="1:16" ht="21.75" customHeight="1">
      <c r="A32" s="217"/>
      <c r="B32" s="228" t="s">
        <v>900</v>
      </c>
      <c r="C32" s="229"/>
      <c r="D32" s="229"/>
      <c r="E32" s="230">
        <f aca="true" t="shared" si="4" ref="E32:N32">SUM(E20:E31)</f>
        <v>85006.6</v>
      </c>
      <c r="F32" s="230">
        <f t="shared" si="4"/>
        <v>53441.799999999996</v>
      </c>
      <c r="G32" s="230">
        <f t="shared" si="4"/>
        <v>10081.3</v>
      </c>
      <c r="H32" s="230">
        <f t="shared" si="4"/>
        <v>43360.5</v>
      </c>
      <c r="I32" s="230">
        <f t="shared" si="4"/>
        <v>18320</v>
      </c>
      <c r="J32" s="230">
        <f t="shared" si="4"/>
        <v>3910.4</v>
      </c>
      <c r="K32" s="230">
        <f t="shared" si="4"/>
        <v>14409.6</v>
      </c>
      <c r="L32" s="230">
        <f t="shared" si="4"/>
        <v>2300</v>
      </c>
      <c r="M32" s="230">
        <f t="shared" si="4"/>
        <v>2300</v>
      </c>
      <c r="N32" s="230">
        <f t="shared" si="4"/>
        <v>0</v>
      </c>
      <c r="O32" s="309"/>
      <c r="P32" s="70"/>
    </row>
    <row r="33" spans="1:16" ht="18" customHeight="1">
      <c r="A33" s="419" t="s">
        <v>901</v>
      </c>
      <c r="B33" s="420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1"/>
      <c r="P33" s="70"/>
    </row>
    <row r="34" spans="1:16" ht="31.5" customHeight="1">
      <c r="A34" s="422">
        <v>14</v>
      </c>
      <c r="B34" s="424" t="s">
        <v>902</v>
      </c>
      <c r="C34" s="231"/>
      <c r="D34" s="219">
        <v>2020</v>
      </c>
      <c r="E34" s="147">
        <f>8242.5-8000</f>
        <v>242.5</v>
      </c>
      <c r="F34" s="224">
        <f>G34+H34</f>
        <v>242.5</v>
      </c>
      <c r="G34" s="225">
        <f>8242.5-8000</f>
        <v>242.5</v>
      </c>
      <c r="H34" s="324"/>
      <c r="I34" s="233">
        <f>J34+K34</f>
        <v>0</v>
      </c>
      <c r="J34" s="325"/>
      <c r="K34" s="325"/>
      <c r="L34" s="233">
        <f>M34+N34</f>
        <v>0</v>
      </c>
      <c r="M34" s="325"/>
      <c r="N34" s="325"/>
      <c r="O34" s="234" t="s">
        <v>1058</v>
      </c>
      <c r="P34" s="70"/>
    </row>
    <row r="35" spans="1:16" ht="29.25" customHeight="1" hidden="1">
      <c r="A35" s="423"/>
      <c r="B35" s="425"/>
      <c r="C35" s="231"/>
      <c r="D35" s="219">
        <v>2020</v>
      </c>
      <c r="E35" s="147"/>
      <c r="F35" s="224">
        <f>G35+H35</f>
        <v>0</v>
      </c>
      <c r="G35" s="225"/>
      <c r="H35" s="324"/>
      <c r="I35" s="233">
        <f aca="true" t="shared" si="5" ref="I35:I50">J35+K35</f>
        <v>0</v>
      </c>
      <c r="J35" s="325"/>
      <c r="K35" s="325"/>
      <c r="L35" s="233">
        <f aca="true" t="shared" si="6" ref="L35:L50">M35+N35</f>
        <v>0</v>
      </c>
      <c r="M35" s="325"/>
      <c r="N35" s="325"/>
      <c r="O35" s="234"/>
      <c r="P35" s="70"/>
    </row>
    <row r="36" spans="1:16" ht="35.25" customHeight="1">
      <c r="A36" s="217">
        <v>15</v>
      </c>
      <c r="B36" s="70" t="s">
        <v>1050</v>
      </c>
      <c r="C36" s="231"/>
      <c r="D36" s="219">
        <v>2020</v>
      </c>
      <c r="E36" s="147">
        <v>2306.7</v>
      </c>
      <c r="F36" s="224"/>
      <c r="G36" s="225"/>
      <c r="H36" s="324"/>
      <c r="I36" s="233">
        <f t="shared" si="5"/>
        <v>0</v>
      </c>
      <c r="J36" s="325"/>
      <c r="K36" s="325"/>
      <c r="L36" s="233">
        <f t="shared" si="6"/>
        <v>0</v>
      </c>
      <c r="M36" s="325"/>
      <c r="N36" s="325"/>
      <c r="O36" s="234" t="s">
        <v>1058</v>
      </c>
      <c r="P36" s="70"/>
    </row>
    <row r="37" spans="1:16" ht="51" customHeight="1">
      <c r="A37" s="217">
        <v>16</v>
      </c>
      <c r="B37" s="70" t="s">
        <v>899</v>
      </c>
      <c r="C37" s="231"/>
      <c r="D37" s="219">
        <v>2020</v>
      </c>
      <c r="E37" s="147">
        <f>2159.4+1400-490.1</f>
        <v>3069.3</v>
      </c>
      <c r="F37" s="224">
        <f>G37+H37</f>
        <v>3069.3</v>
      </c>
      <c r="G37" s="225">
        <f>2159.4+1400-490.1</f>
        <v>3069.3</v>
      </c>
      <c r="H37" s="324"/>
      <c r="I37" s="233">
        <f t="shared" si="5"/>
        <v>0</v>
      </c>
      <c r="J37" s="325"/>
      <c r="K37" s="325"/>
      <c r="L37" s="233">
        <f t="shared" si="6"/>
        <v>0</v>
      </c>
      <c r="M37" s="325"/>
      <c r="N37" s="325"/>
      <c r="O37" s="234" t="s">
        <v>1163</v>
      </c>
      <c r="P37" s="70"/>
    </row>
    <row r="38" spans="1:16" ht="50.25" customHeight="1">
      <c r="A38" s="422">
        <v>17</v>
      </c>
      <c r="B38" s="424" t="s">
        <v>903</v>
      </c>
      <c r="C38" s="231"/>
      <c r="D38" s="219">
        <v>2020</v>
      </c>
      <c r="E38" s="147">
        <v>7000</v>
      </c>
      <c r="F38" s="224">
        <f aca="true" t="shared" si="7" ref="F38:F51">G38+H38</f>
        <v>1550</v>
      </c>
      <c r="G38" s="225">
        <f>150+1400</f>
        <v>1550</v>
      </c>
      <c r="H38" s="232"/>
      <c r="I38" s="233">
        <f t="shared" si="5"/>
        <v>0</v>
      </c>
      <c r="J38" s="233"/>
      <c r="K38" s="233"/>
      <c r="L38" s="233">
        <f t="shared" si="6"/>
        <v>0</v>
      </c>
      <c r="M38" s="233"/>
      <c r="N38" s="233"/>
      <c r="O38" s="234" t="s">
        <v>1163</v>
      </c>
      <c r="P38" s="70"/>
    </row>
    <row r="39" spans="1:16" ht="33" customHeight="1" hidden="1">
      <c r="A39" s="423"/>
      <c r="B39" s="425"/>
      <c r="C39" s="231"/>
      <c r="D39" s="219">
        <v>2020</v>
      </c>
      <c r="E39" s="147"/>
      <c r="F39" s="224">
        <f t="shared" si="7"/>
        <v>0</v>
      </c>
      <c r="G39" s="225"/>
      <c r="H39" s="232"/>
      <c r="I39" s="233">
        <f t="shared" si="5"/>
        <v>0</v>
      </c>
      <c r="J39" s="233"/>
      <c r="K39" s="233"/>
      <c r="L39" s="233">
        <f t="shared" si="6"/>
        <v>0</v>
      </c>
      <c r="M39" s="233"/>
      <c r="N39" s="233"/>
      <c r="O39" s="234"/>
      <c r="P39" s="70"/>
    </row>
    <row r="40" spans="1:16" ht="24.75" customHeight="1">
      <c r="A40" s="217">
        <v>18</v>
      </c>
      <c r="B40" s="222" t="s">
        <v>1051</v>
      </c>
      <c r="C40" s="231"/>
      <c r="D40" s="219">
        <v>2020</v>
      </c>
      <c r="E40" s="147">
        <v>400</v>
      </c>
      <c r="F40" s="224"/>
      <c r="G40" s="225"/>
      <c r="H40" s="233"/>
      <c r="I40" s="233">
        <f t="shared" si="5"/>
        <v>0</v>
      </c>
      <c r="J40" s="233"/>
      <c r="K40" s="233"/>
      <c r="L40" s="233">
        <f t="shared" si="6"/>
        <v>0</v>
      </c>
      <c r="M40" s="233"/>
      <c r="N40" s="233"/>
      <c r="O40" s="234" t="s">
        <v>1058</v>
      </c>
      <c r="P40" s="70"/>
    </row>
    <row r="41" spans="1:16" ht="34.5" customHeight="1">
      <c r="A41" s="217">
        <v>19</v>
      </c>
      <c r="B41" s="222" t="s">
        <v>1052</v>
      </c>
      <c r="C41" s="231"/>
      <c r="D41" s="219">
        <v>2020</v>
      </c>
      <c r="E41" s="147">
        <v>700</v>
      </c>
      <c r="F41" s="224">
        <f t="shared" si="7"/>
        <v>0</v>
      </c>
      <c r="G41" s="225"/>
      <c r="H41" s="233"/>
      <c r="I41" s="233">
        <f t="shared" si="5"/>
        <v>0</v>
      </c>
      <c r="J41" s="233"/>
      <c r="K41" s="233"/>
      <c r="L41" s="233">
        <f t="shared" si="6"/>
        <v>0</v>
      </c>
      <c r="M41" s="233"/>
      <c r="N41" s="233"/>
      <c r="O41" s="234" t="s">
        <v>1058</v>
      </c>
      <c r="P41" s="70"/>
    </row>
    <row r="42" spans="1:16" ht="33.75" customHeight="1">
      <c r="A42" s="217">
        <v>20</v>
      </c>
      <c r="B42" s="222" t="s">
        <v>1053</v>
      </c>
      <c r="C42" s="231"/>
      <c r="D42" s="219">
        <v>2020</v>
      </c>
      <c r="E42" s="225">
        <f>400+10041</f>
        <v>10441</v>
      </c>
      <c r="F42" s="224">
        <f t="shared" si="7"/>
        <v>10041</v>
      </c>
      <c r="G42" s="225"/>
      <c r="H42" s="233">
        <v>10041</v>
      </c>
      <c r="I42" s="233">
        <f t="shared" si="5"/>
        <v>0</v>
      </c>
      <c r="J42" s="233"/>
      <c r="K42" s="233"/>
      <c r="L42" s="233">
        <f t="shared" si="6"/>
        <v>0</v>
      </c>
      <c r="M42" s="233"/>
      <c r="N42" s="233"/>
      <c r="O42" s="234" t="s">
        <v>1058</v>
      </c>
      <c r="P42" s="70"/>
    </row>
    <row r="43" spans="1:16" ht="33" customHeight="1">
      <c r="A43" s="217">
        <v>21</v>
      </c>
      <c r="B43" s="222" t="s">
        <v>998</v>
      </c>
      <c r="C43" s="231"/>
      <c r="D43" s="219">
        <v>2020</v>
      </c>
      <c r="E43" s="225">
        <v>1000</v>
      </c>
      <c r="F43" s="224">
        <f t="shared" si="7"/>
        <v>0</v>
      </c>
      <c r="G43" s="225"/>
      <c r="H43" s="233"/>
      <c r="I43" s="233">
        <f t="shared" si="5"/>
        <v>0</v>
      </c>
      <c r="J43" s="233"/>
      <c r="K43" s="233"/>
      <c r="L43" s="233">
        <f t="shared" si="6"/>
        <v>0</v>
      </c>
      <c r="M43" s="233"/>
      <c r="N43" s="233"/>
      <c r="O43" s="234" t="s">
        <v>1058</v>
      </c>
      <c r="P43" s="70"/>
    </row>
    <row r="44" spans="1:16" ht="34.5" customHeight="1">
      <c r="A44" s="217">
        <v>22</v>
      </c>
      <c r="B44" s="222" t="s">
        <v>1069</v>
      </c>
      <c r="C44" s="231"/>
      <c r="D44" s="219" t="s">
        <v>1113</v>
      </c>
      <c r="E44" s="225">
        <f>96559.2+1060</f>
        <v>97619.2</v>
      </c>
      <c r="F44" s="224">
        <f>G44+H44</f>
        <v>96559.2</v>
      </c>
      <c r="G44" s="225">
        <v>9656</v>
      </c>
      <c r="H44" s="233">
        <v>86903.2</v>
      </c>
      <c r="I44" s="233">
        <f t="shared" si="5"/>
        <v>1060</v>
      </c>
      <c r="J44" s="233">
        <v>1060</v>
      </c>
      <c r="K44" s="233"/>
      <c r="L44" s="233">
        <f t="shared" si="6"/>
        <v>0</v>
      </c>
      <c r="M44" s="233"/>
      <c r="N44" s="233"/>
      <c r="O44" s="234" t="s">
        <v>1074</v>
      </c>
      <c r="P44" s="70"/>
    </row>
    <row r="45" spans="1:16" ht="34.5" customHeight="1">
      <c r="A45" s="217">
        <v>23</v>
      </c>
      <c r="B45" s="222" t="s">
        <v>1049</v>
      </c>
      <c r="C45" s="231"/>
      <c r="D45" s="219">
        <v>2020</v>
      </c>
      <c r="E45" s="225">
        <f>3205.3+11000</f>
        <v>14205.3</v>
      </c>
      <c r="F45" s="224">
        <f>G45+H45</f>
        <v>14205.3</v>
      </c>
      <c r="G45" s="225">
        <f>581.3+2624</f>
        <v>3205.3</v>
      </c>
      <c r="H45" s="233">
        <v>11000</v>
      </c>
      <c r="I45" s="233">
        <f t="shared" si="5"/>
        <v>0</v>
      </c>
      <c r="J45" s="233"/>
      <c r="K45" s="233"/>
      <c r="L45" s="233">
        <f t="shared" si="6"/>
        <v>0</v>
      </c>
      <c r="M45" s="233"/>
      <c r="N45" s="233"/>
      <c r="O45" s="234" t="s">
        <v>1058</v>
      </c>
      <c r="P45" s="70"/>
    </row>
    <row r="46" spans="1:16" ht="33.75" customHeight="1">
      <c r="A46" s="217">
        <v>24</v>
      </c>
      <c r="B46" s="222" t="s">
        <v>1081</v>
      </c>
      <c r="C46" s="231"/>
      <c r="D46" s="219">
        <v>2020</v>
      </c>
      <c r="E46" s="225">
        <f>14088.8+17.5</f>
        <v>14106.3</v>
      </c>
      <c r="F46" s="224">
        <f t="shared" si="7"/>
        <v>14106.3</v>
      </c>
      <c r="G46" s="224">
        <f>1300+1788.8+17.5</f>
        <v>3106.3</v>
      </c>
      <c r="H46" s="233">
        <v>11000</v>
      </c>
      <c r="I46" s="233">
        <f t="shared" si="5"/>
        <v>0</v>
      </c>
      <c r="J46" s="233"/>
      <c r="K46" s="233"/>
      <c r="L46" s="233">
        <f t="shared" si="6"/>
        <v>0</v>
      </c>
      <c r="M46" s="233"/>
      <c r="N46" s="233"/>
      <c r="O46" s="234" t="s">
        <v>1058</v>
      </c>
      <c r="P46" s="70"/>
    </row>
    <row r="47" spans="1:16" ht="33.75" customHeight="1">
      <c r="A47" s="217">
        <v>25</v>
      </c>
      <c r="B47" s="222" t="s">
        <v>1086</v>
      </c>
      <c r="C47" s="231"/>
      <c r="D47" s="219">
        <v>2020</v>
      </c>
      <c r="E47" s="225">
        <v>700</v>
      </c>
      <c r="F47" s="224">
        <f t="shared" si="7"/>
        <v>700</v>
      </c>
      <c r="G47" s="224">
        <v>700</v>
      </c>
      <c r="H47" s="233"/>
      <c r="I47" s="233">
        <f t="shared" si="5"/>
        <v>0</v>
      </c>
      <c r="J47" s="233"/>
      <c r="K47" s="233"/>
      <c r="L47" s="233">
        <f t="shared" si="6"/>
        <v>0</v>
      </c>
      <c r="M47" s="233"/>
      <c r="N47" s="233"/>
      <c r="O47" s="234" t="s">
        <v>1058</v>
      </c>
      <c r="P47" s="70"/>
    </row>
    <row r="48" spans="1:16" ht="35.25" customHeight="1">
      <c r="A48" s="217">
        <v>26</v>
      </c>
      <c r="B48" s="222" t="s">
        <v>1068</v>
      </c>
      <c r="C48" s="231"/>
      <c r="D48" s="219">
        <v>2020</v>
      </c>
      <c r="E48" s="225">
        <v>2300</v>
      </c>
      <c r="F48" s="224">
        <f t="shared" si="7"/>
        <v>2300</v>
      </c>
      <c r="G48" s="225">
        <v>2300</v>
      </c>
      <c r="H48" s="233"/>
      <c r="I48" s="233">
        <f t="shared" si="5"/>
        <v>0</v>
      </c>
      <c r="J48" s="233"/>
      <c r="K48" s="233"/>
      <c r="L48" s="233">
        <f t="shared" si="6"/>
        <v>0</v>
      </c>
      <c r="M48" s="233"/>
      <c r="N48" s="233"/>
      <c r="O48" s="234" t="s">
        <v>1058</v>
      </c>
      <c r="P48" s="70"/>
    </row>
    <row r="49" spans="1:16" ht="35.25" customHeight="1">
      <c r="A49" s="217">
        <v>27</v>
      </c>
      <c r="B49" s="222" t="s">
        <v>1087</v>
      </c>
      <c r="C49" s="231"/>
      <c r="D49" s="219">
        <v>2020</v>
      </c>
      <c r="E49" s="225">
        <f>724.2-724.2+3000+50</f>
        <v>3050</v>
      </c>
      <c r="F49" s="224">
        <f t="shared" si="7"/>
        <v>3050</v>
      </c>
      <c r="G49" s="225">
        <f>724.2-724.2+3000+50</f>
        <v>3050</v>
      </c>
      <c r="H49" s="233"/>
      <c r="I49" s="233">
        <f t="shared" si="5"/>
        <v>0</v>
      </c>
      <c r="J49" s="233"/>
      <c r="K49" s="233"/>
      <c r="L49" s="233">
        <f t="shared" si="6"/>
        <v>0</v>
      </c>
      <c r="M49" s="233"/>
      <c r="N49" s="233"/>
      <c r="O49" s="234" t="s">
        <v>1058</v>
      </c>
      <c r="P49" s="70"/>
    </row>
    <row r="50" spans="1:16" ht="35.25" customHeight="1">
      <c r="A50" s="217">
        <v>28</v>
      </c>
      <c r="B50" s="222" t="s">
        <v>1160</v>
      </c>
      <c r="C50" s="231"/>
      <c r="D50" s="219">
        <v>2020</v>
      </c>
      <c r="E50" s="225">
        <f>465.4-50</f>
        <v>415.4</v>
      </c>
      <c r="F50" s="224">
        <f t="shared" si="7"/>
        <v>415.4</v>
      </c>
      <c r="G50" s="225">
        <f>465.4-50</f>
        <v>415.4</v>
      </c>
      <c r="H50" s="233"/>
      <c r="I50" s="233">
        <f t="shared" si="5"/>
        <v>0</v>
      </c>
      <c r="J50" s="233"/>
      <c r="K50" s="233"/>
      <c r="L50" s="233">
        <f t="shared" si="6"/>
        <v>0</v>
      </c>
      <c r="M50" s="233"/>
      <c r="N50" s="233"/>
      <c r="O50" s="234" t="s">
        <v>1058</v>
      </c>
      <c r="P50" s="70"/>
    </row>
    <row r="51" spans="1:18" ht="45" customHeight="1">
      <c r="A51" s="217">
        <v>29</v>
      </c>
      <c r="B51" s="222" t="s">
        <v>904</v>
      </c>
      <c r="C51" s="223" t="s">
        <v>905</v>
      </c>
      <c r="D51" s="219" t="s">
        <v>1040</v>
      </c>
      <c r="E51" s="147">
        <f>819893+2149.9-548.2+498</f>
        <v>821992.7000000001</v>
      </c>
      <c r="F51" s="224">
        <f t="shared" si="7"/>
        <v>274555.7</v>
      </c>
      <c r="G51" s="225">
        <f>40456+2149.9-50.2</f>
        <v>42555.700000000004</v>
      </c>
      <c r="H51" s="225">
        <v>232000</v>
      </c>
      <c r="I51" s="225">
        <f>J51+K51</f>
        <v>303000</v>
      </c>
      <c r="J51" s="225">
        <f>43000</f>
        <v>43000</v>
      </c>
      <c r="K51" s="225">
        <v>260000</v>
      </c>
      <c r="L51" s="225">
        <f>M51+N51</f>
        <v>244437</v>
      </c>
      <c r="M51" s="225">
        <f>39841</f>
        <v>39841</v>
      </c>
      <c r="N51" s="225">
        <v>204596</v>
      </c>
      <c r="O51" s="89" t="s">
        <v>1055</v>
      </c>
      <c r="P51" s="70"/>
      <c r="R51" s="148"/>
    </row>
    <row r="52" spans="1:16" ht="18.75" customHeight="1">
      <c r="A52" s="217"/>
      <c r="B52" s="228" t="s">
        <v>890</v>
      </c>
      <c r="C52" s="229"/>
      <c r="D52" s="229"/>
      <c r="E52" s="230">
        <f aca="true" t="shared" si="8" ref="E52:N52">SUM(E34:E51)</f>
        <v>979548.4</v>
      </c>
      <c r="F52" s="230">
        <f t="shared" si="8"/>
        <v>420794.7</v>
      </c>
      <c r="G52" s="230">
        <f t="shared" si="8"/>
        <v>69850.5</v>
      </c>
      <c r="H52" s="230">
        <f t="shared" si="8"/>
        <v>350944.2</v>
      </c>
      <c r="I52" s="230">
        <f t="shared" si="8"/>
        <v>304060</v>
      </c>
      <c r="J52" s="230">
        <f t="shared" si="8"/>
        <v>44060</v>
      </c>
      <c r="K52" s="230">
        <f t="shared" si="8"/>
        <v>260000</v>
      </c>
      <c r="L52" s="230">
        <f t="shared" si="8"/>
        <v>244437</v>
      </c>
      <c r="M52" s="230">
        <f t="shared" si="8"/>
        <v>39841</v>
      </c>
      <c r="N52" s="230">
        <f t="shared" si="8"/>
        <v>204596</v>
      </c>
      <c r="O52" s="315"/>
      <c r="P52" s="70"/>
    </row>
    <row r="53" spans="1:16" ht="22.5" customHeight="1">
      <c r="A53" s="419" t="s">
        <v>139</v>
      </c>
      <c r="B53" s="420"/>
      <c r="C53" s="420"/>
      <c r="D53" s="420"/>
      <c r="E53" s="420"/>
      <c r="F53" s="420"/>
      <c r="G53" s="420"/>
      <c r="H53" s="420"/>
      <c r="I53" s="420"/>
      <c r="J53" s="420"/>
      <c r="K53" s="420"/>
      <c r="L53" s="420"/>
      <c r="M53" s="420"/>
      <c r="N53" s="420"/>
      <c r="O53" s="421"/>
      <c r="P53" s="70"/>
    </row>
    <row r="54" spans="1:16" ht="39.75" customHeight="1">
      <c r="A54" s="217">
        <v>30</v>
      </c>
      <c r="B54" s="234" t="s">
        <v>906</v>
      </c>
      <c r="C54" s="223" t="s">
        <v>907</v>
      </c>
      <c r="D54" s="219">
        <v>2020</v>
      </c>
      <c r="E54" s="232">
        <v>1500</v>
      </c>
      <c r="F54" s="233">
        <f>G54+H54</f>
        <v>0</v>
      </c>
      <c r="G54" s="233"/>
      <c r="H54" s="233"/>
      <c r="I54" s="233">
        <f>J54+K54</f>
        <v>0</v>
      </c>
      <c r="J54" s="233"/>
      <c r="K54" s="233"/>
      <c r="L54" s="233">
        <f>M54+N54</f>
        <v>0</v>
      </c>
      <c r="M54" s="233"/>
      <c r="N54" s="233"/>
      <c r="O54" s="234" t="s">
        <v>1058</v>
      </c>
      <c r="P54" s="70"/>
    </row>
    <row r="55" spans="1:16" ht="39.75" customHeight="1">
      <c r="A55" s="217">
        <v>31</v>
      </c>
      <c r="B55" s="234" t="s">
        <v>1088</v>
      </c>
      <c r="C55" s="223"/>
      <c r="D55" s="219">
        <v>2020</v>
      </c>
      <c r="E55" s="232">
        <v>249.8</v>
      </c>
      <c r="F55" s="233">
        <f>G55+H55</f>
        <v>249.8</v>
      </c>
      <c r="G55" s="233">
        <v>249.8</v>
      </c>
      <c r="H55" s="233"/>
      <c r="I55" s="233">
        <f>J55+K55</f>
        <v>0</v>
      </c>
      <c r="J55" s="233"/>
      <c r="K55" s="233"/>
      <c r="L55" s="233">
        <f>M55+N55</f>
        <v>0</v>
      </c>
      <c r="M55" s="233"/>
      <c r="N55" s="233"/>
      <c r="O55" s="234" t="s">
        <v>1058</v>
      </c>
      <c r="P55" s="70"/>
    </row>
    <row r="56" spans="1:16" ht="32.25" customHeight="1">
      <c r="A56" s="217">
        <v>32</v>
      </c>
      <c r="B56" s="235" t="s">
        <v>908</v>
      </c>
      <c r="C56" s="223" t="s">
        <v>905</v>
      </c>
      <c r="D56" s="219" t="s">
        <v>1113</v>
      </c>
      <c r="E56" s="232">
        <f>2500</f>
        <v>2500</v>
      </c>
      <c r="F56" s="233">
        <f>G56+H56</f>
        <v>0</v>
      </c>
      <c r="G56" s="233"/>
      <c r="H56" s="233"/>
      <c r="I56" s="233">
        <f>J56+K56</f>
        <v>2300</v>
      </c>
      <c r="J56" s="233">
        <v>2300</v>
      </c>
      <c r="K56" s="233"/>
      <c r="L56" s="233">
        <f>M56+N56</f>
        <v>0</v>
      </c>
      <c r="M56" s="233"/>
      <c r="N56" s="233"/>
      <c r="O56" s="234" t="s">
        <v>1058</v>
      </c>
      <c r="P56" s="70"/>
    </row>
    <row r="57" spans="1:16" ht="37.5" customHeight="1">
      <c r="A57" s="217">
        <v>33</v>
      </c>
      <c r="B57" s="235" t="s">
        <v>1054</v>
      </c>
      <c r="C57" s="223"/>
      <c r="D57" s="219" t="s">
        <v>1113</v>
      </c>
      <c r="E57" s="233">
        <f>5000</f>
        <v>5000</v>
      </c>
      <c r="F57" s="233">
        <f>G57+H57</f>
        <v>300</v>
      </c>
      <c r="G57" s="233">
        <v>300</v>
      </c>
      <c r="H57" s="233"/>
      <c r="I57" s="233">
        <f>J57+K57</f>
        <v>0</v>
      </c>
      <c r="J57" s="233"/>
      <c r="K57" s="233"/>
      <c r="L57" s="233">
        <f>M57+N57</f>
        <v>2899.5</v>
      </c>
      <c r="M57" s="233">
        <v>2899.5</v>
      </c>
      <c r="N57" s="233"/>
      <c r="O57" s="234" t="s">
        <v>1058</v>
      </c>
      <c r="P57" s="70"/>
    </row>
    <row r="58" spans="1:16" ht="19.5" customHeight="1">
      <c r="A58" s="217"/>
      <c r="B58" s="140" t="s">
        <v>890</v>
      </c>
      <c r="C58" s="223"/>
      <c r="D58" s="223"/>
      <c r="E58" s="236">
        <f>SUM(E54:E57)</f>
        <v>9249.8</v>
      </c>
      <c r="F58" s="236">
        <f>SUM(F54:F57)</f>
        <v>549.8</v>
      </c>
      <c r="G58" s="236">
        <f>SUM(G54:G57)</f>
        <v>549.8</v>
      </c>
      <c r="H58" s="236">
        <f aca="true" t="shared" si="9" ref="H58:N58">SUM(H54:H57)</f>
        <v>0</v>
      </c>
      <c r="I58" s="236">
        <f t="shared" si="9"/>
        <v>2300</v>
      </c>
      <c r="J58" s="236">
        <f t="shared" si="9"/>
        <v>2300</v>
      </c>
      <c r="K58" s="236">
        <f t="shared" si="9"/>
        <v>0</v>
      </c>
      <c r="L58" s="236">
        <f t="shared" si="9"/>
        <v>2899.5</v>
      </c>
      <c r="M58" s="236">
        <f t="shared" si="9"/>
        <v>2899.5</v>
      </c>
      <c r="N58" s="236">
        <f t="shared" si="9"/>
        <v>0</v>
      </c>
      <c r="O58" s="316"/>
      <c r="P58" s="70"/>
    </row>
    <row r="59" spans="1:16" ht="18.75" customHeight="1">
      <c r="A59" s="237"/>
      <c r="B59" s="238" t="s">
        <v>891</v>
      </c>
      <c r="C59" s="239"/>
      <c r="D59" s="239"/>
      <c r="E59" s="311">
        <f aca="true" t="shared" si="10" ref="E59:N59">E58+E52+E32</f>
        <v>1073804.8</v>
      </c>
      <c r="F59" s="236">
        <f t="shared" si="10"/>
        <v>474786.3</v>
      </c>
      <c r="G59" s="236">
        <f t="shared" si="10"/>
        <v>80481.6</v>
      </c>
      <c r="H59" s="236">
        <f t="shared" si="10"/>
        <v>394304.7</v>
      </c>
      <c r="I59" s="236">
        <f t="shared" si="10"/>
        <v>324680</v>
      </c>
      <c r="J59" s="236">
        <f t="shared" si="10"/>
        <v>50270.4</v>
      </c>
      <c r="K59" s="236">
        <f t="shared" si="10"/>
        <v>274409.6</v>
      </c>
      <c r="L59" s="236">
        <f t="shared" si="10"/>
        <v>249636.5</v>
      </c>
      <c r="M59" s="236">
        <f t="shared" si="10"/>
        <v>45040.5</v>
      </c>
      <c r="N59" s="236">
        <f t="shared" si="10"/>
        <v>204596</v>
      </c>
      <c r="O59" s="317"/>
      <c r="P59" s="70"/>
    </row>
    <row r="60" spans="1:16" ht="24.75" customHeight="1">
      <c r="A60" s="426" t="s">
        <v>909</v>
      </c>
      <c r="B60" s="427"/>
      <c r="C60" s="427"/>
      <c r="D60" s="427"/>
      <c r="E60" s="427"/>
      <c r="F60" s="427"/>
      <c r="G60" s="427"/>
      <c r="H60" s="427"/>
      <c r="I60" s="427"/>
      <c r="J60" s="427"/>
      <c r="K60" s="427"/>
      <c r="L60" s="427"/>
      <c r="M60" s="427"/>
      <c r="N60" s="427"/>
      <c r="O60" s="428"/>
      <c r="P60" s="70"/>
    </row>
    <row r="61" spans="1:16" ht="18.75" customHeight="1">
      <c r="A61" s="419" t="s">
        <v>188</v>
      </c>
      <c r="B61" s="420"/>
      <c r="C61" s="420"/>
      <c r="D61" s="420"/>
      <c r="E61" s="420"/>
      <c r="F61" s="420"/>
      <c r="G61" s="420"/>
      <c r="H61" s="420"/>
      <c r="I61" s="420"/>
      <c r="J61" s="420"/>
      <c r="K61" s="420"/>
      <c r="L61" s="420"/>
      <c r="M61" s="420"/>
      <c r="N61" s="420"/>
      <c r="O61" s="421"/>
      <c r="P61" s="70"/>
    </row>
    <row r="62" spans="1:16" ht="31.5" customHeight="1">
      <c r="A62" s="217">
        <v>34</v>
      </c>
      <c r="B62" s="235" t="s">
        <v>1016</v>
      </c>
      <c r="C62" s="223" t="s">
        <v>905</v>
      </c>
      <c r="D62" s="219">
        <v>2020</v>
      </c>
      <c r="E62" s="232">
        <v>1400</v>
      </c>
      <c r="F62" s="233">
        <f aca="true" t="shared" si="11" ref="F62:F67">G62+H62</f>
        <v>0</v>
      </c>
      <c r="G62" s="233"/>
      <c r="H62" s="233"/>
      <c r="I62" s="233">
        <f aca="true" t="shared" si="12" ref="I62:I67">J62+K62</f>
        <v>0</v>
      </c>
      <c r="J62" s="241"/>
      <c r="K62" s="241"/>
      <c r="L62" s="233">
        <f aca="true" t="shared" si="13" ref="L62:L67">M62+N62</f>
        <v>0</v>
      </c>
      <c r="M62" s="241"/>
      <c r="N62" s="241"/>
      <c r="O62" s="234" t="s">
        <v>1058</v>
      </c>
      <c r="P62" s="70"/>
    </row>
    <row r="63" spans="1:16" ht="24.75" customHeight="1">
      <c r="A63" s="217">
        <v>35</v>
      </c>
      <c r="B63" s="89" t="s">
        <v>910</v>
      </c>
      <c r="C63" s="223" t="s">
        <v>905</v>
      </c>
      <c r="D63" s="219">
        <v>2020</v>
      </c>
      <c r="E63" s="232">
        <v>2000</v>
      </c>
      <c r="F63" s="233">
        <f t="shared" si="11"/>
        <v>0</v>
      </c>
      <c r="G63" s="233"/>
      <c r="H63" s="233"/>
      <c r="I63" s="233">
        <f t="shared" si="12"/>
        <v>0</v>
      </c>
      <c r="J63" s="241"/>
      <c r="K63" s="241"/>
      <c r="L63" s="233">
        <f t="shared" si="13"/>
        <v>0</v>
      </c>
      <c r="M63" s="241"/>
      <c r="N63" s="241"/>
      <c r="O63" s="234" t="s">
        <v>1058</v>
      </c>
      <c r="P63" s="70"/>
    </row>
    <row r="64" spans="1:16" ht="33.75" customHeight="1">
      <c r="A64" s="217">
        <v>36</v>
      </c>
      <c r="B64" s="234" t="s">
        <v>911</v>
      </c>
      <c r="C64" s="223" t="s">
        <v>905</v>
      </c>
      <c r="D64" s="219">
        <v>2020</v>
      </c>
      <c r="E64" s="232">
        <v>382</v>
      </c>
      <c r="F64" s="233">
        <f t="shared" si="11"/>
        <v>315</v>
      </c>
      <c r="G64" s="233">
        <f>450-135</f>
        <v>315</v>
      </c>
      <c r="H64" s="233"/>
      <c r="I64" s="233">
        <f t="shared" si="12"/>
        <v>0</v>
      </c>
      <c r="J64" s="241"/>
      <c r="K64" s="241"/>
      <c r="L64" s="233">
        <f t="shared" si="13"/>
        <v>0</v>
      </c>
      <c r="M64" s="241"/>
      <c r="N64" s="241"/>
      <c r="O64" s="234" t="s">
        <v>1058</v>
      </c>
      <c r="P64" s="70"/>
    </row>
    <row r="65" spans="1:16" ht="35.25" customHeight="1">
      <c r="A65" s="217">
        <v>37</v>
      </c>
      <c r="B65" s="89" t="s">
        <v>912</v>
      </c>
      <c r="C65" s="223" t="s">
        <v>905</v>
      </c>
      <c r="D65" s="219" t="s">
        <v>1113</v>
      </c>
      <c r="E65" s="232">
        <f>5660</f>
        <v>5660</v>
      </c>
      <c r="F65" s="233">
        <f t="shared" si="11"/>
        <v>0</v>
      </c>
      <c r="G65" s="233"/>
      <c r="H65" s="233"/>
      <c r="I65" s="233">
        <f t="shared" si="12"/>
        <v>2571.2</v>
      </c>
      <c r="J65" s="233">
        <v>2571.2</v>
      </c>
      <c r="K65" s="241"/>
      <c r="L65" s="233">
        <f t="shared" si="13"/>
        <v>0</v>
      </c>
      <c r="M65" s="241"/>
      <c r="N65" s="241"/>
      <c r="O65" s="234" t="s">
        <v>1058</v>
      </c>
      <c r="P65" s="70"/>
    </row>
    <row r="66" spans="1:16" ht="24" customHeight="1">
      <c r="A66" s="217">
        <v>38</v>
      </c>
      <c r="B66" s="89" t="s">
        <v>913</v>
      </c>
      <c r="C66" s="223" t="s">
        <v>905</v>
      </c>
      <c r="D66" s="219">
        <v>2020</v>
      </c>
      <c r="E66" s="232">
        <v>2000.5</v>
      </c>
      <c r="F66" s="233">
        <f t="shared" si="11"/>
        <v>0</v>
      </c>
      <c r="G66" s="233"/>
      <c r="H66" s="233"/>
      <c r="I66" s="233">
        <f t="shared" si="12"/>
        <v>0</v>
      </c>
      <c r="J66" s="241"/>
      <c r="K66" s="241"/>
      <c r="L66" s="233">
        <f t="shared" si="13"/>
        <v>0</v>
      </c>
      <c r="M66" s="241"/>
      <c r="N66" s="241"/>
      <c r="O66" s="234" t="s">
        <v>1058</v>
      </c>
      <c r="P66" s="70"/>
    </row>
    <row r="67" spans="1:16" ht="23.25" customHeight="1">
      <c r="A67" s="308">
        <v>39</v>
      </c>
      <c r="B67" s="89" t="s">
        <v>1059</v>
      </c>
      <c r="C67" s="223" t="s">
        <v>905</v>
      </c>
      <c r="D67" s="219">
        <v>2020</v>
      </c>
      <c r="E67" s="232">
        <v>65</v>
      </c>
      <c r="F67" s="233">
        <f t="shared" si="11"/>
        <v>0</v>
      </c>
      <c r="G67" s="233"/>
      <c r="H67" s="233"/>
      <c r="I67" s="233">
        <f t="shared" si="12"/>
        <v>0</v>
      </c>
      <c r="J67" s="241"/>
      <c r="K67" s="241"/>
      <c r="L67" s="233">
        <f t="shared" si="13"/>
        <v>0</v>
      </c>
      <c r="M67" s="241"/>
      <c r="N67" s="241"/>
      <c r="O67" s="234" t="s">
        <v>1058</v>
      </c>
      <c r="P67" s="70"/>
    </row>
    <row r="68" spans="1:16" ht="19.5" customHeight="1">
      <c r="A68" s="217"/>
      <c r="B68" s="118" t="s">
        <v>914</v>
      </c>
      <c r="C68" s="223"/>
      <c r="D68" s="223"/>
      <c r="E68" s="242">
        <f aca="true" t="shared" si="14" ref="E68:N68">SUM(E62:E67)</f>
        <v>11507.5</v>
      </c>
      <c r="F68" s="242">
        <f t="shared" si="14"/>
        <v>315</v>
      </c>
      <c r="G68" s="242">
        <f t="shared" si="14"/>
        <v>315</v>
      </c>
      <c r="H68" s="242">
        <f t="shared" si="14"/>
        <v>0</v>
      </c>
      <c r="I68" s="242">
        <f t="shared" si="14"/>
        <v>2571.2</v>
      </c>
      <c r="J68" s="242">
        <f t="shared" si="14"/>
        <v>2571.2</v>
      </c>
      <c r="K68" s="242">
        <f t="shared" si="14"/>
        <v>0</v>
      </c>
      <c r="L68" s="242">
        <f t="shared" si="14"/>
        <v>0</v>
      </c>
      <c r="M68" s="242">
        <f t="shared" si="14"/>
        <v>0</v>
      </c>
      <c r="N68" s="242">
        <f t="shared" si="14"/>
        <v>0</v>
      </c>
      <c r="O68" s="217"/>
      <c r="P68" s="70"/>
    </row>
    <row r="69" spans="1:16" ht="20.25" customHeight="1">
      <c r="A69" s="217"/>
      <c r="B69" s="228" t="s">
        <v>891</v>
      </c>
      <c r="C69" s="223"/>
      <c r="D69" s="223"/>
      <c r="E69" s="243">
        <f aca="true" t="shared" si="15" ref="E69:N69">E68</f>
        <v>11507.5</v>
      </c>
      <c r="F69" s="243">
        <f t="shared" si="15"/>
        <v>315</v>
      </c>
      <c r="G69" s="243">
        <f t="shared" si="15"/>
        <v>315</v>
      </c>
      <c r="H69" s="243">
        <f t="shared" si="15"/>
        <v>0</v>
      </c>
      <c r="I69" s="243">
        <f t="shared" si="15"/>
        <v>2571.2</v>
      </c>
      <c r="J69" s="243">
        <f t="shared" si="15"/>
        <v>2571.2</v>
      </c>
      <c r="K69" s="243">
        <f t="shared" si="15"/>
        <v>0</v>
      </c>
      <c r="L69" s="243">
        <f t="shared" si="15"/>
        <v>0</v>
      </c>
      <c r="M69" s="243">
        <f t="shared" si="15"/>
        <v>0</v>
      </c>
      <c r="N69" s="243">
        <f t="shared" si="15"/>
        <v>0</v>
      </c>
      <c r="O69" s="240"/>
      <c r="P69" s="70"/>
    </row>
    <row r="70" spans="1:16" ht="18.75" customHeight="1">
      <c r="A70" s="413" t="s">
        <v>287</v>
      </c>
      <c r="B70" s="414"/>
      <c r="C70" s="414"/>
      <c r="D70" s="414"/>
      <c r="E70" s="414"/>
      <c r="F70" s="414"/>
      <c r="G70" s="414"/>
      <c r="H70" s="414"/>
      <c r="I70" s="414"/>
      <c r="J70" s="414"/>
      <c r="K70" s="414"/>
      <c r="L70" s="414"/>
      <c r="M70" s="414"/>
      <c r="N70" s="414"/>
      <c r="O70" s="415"/>
      <c r="P70" s="70"/>
    </row>
    <row r="71" spans="1:16" ht="17.25" customHeight="1">
      <c r="A71" s="416" t="s">
        <v>790</v>
      </c>
      <c r="B71" s="417"/>
      <c r="C71" s="417"/>
      <c r="D71" s="417"/>
      <c r="E71" s="417"/>
      <c r="F71" s="417"/>
      <c r="G71" s="417"/>
      <c r="H71" s="417"/>
      <c r="I71" s="417"/>
      <c r="J71" s="417"/>
      <c r="K71" s="417"/>
      <c r="L71" s="417"/>
      <c r="M71" s="417"/>
      <c r="N71" s="417"/>
      <c r="O71" s="418"/>
      <c r="P71" s="70"/>
    </row>
    <row r="72" spans="1:16" ht="42" customHeight="1">
      <c r="A72" s="217">
        <v>40</v>
      </c>
      <c r="B72" s="89" t="s">
        <v>915</v>
      </c>
      <c r="C72" s="223" t="s">
        <v>916</v>
      </c>
      <c r="D72" s="219">
        <v>2020</v>
      </c>
      <c r="E72" s="232">
        <v>3700</v>
      </c>
      <c r="F72" s="233">
        <f>G72+H72</f>
        <v>3700</v>
      </c>
      <c r="G72" s="233">
        <f>3000-1800</f>
        <v>1200</v>
      </c>
      <c r="H72" s="233">
        <v>2500</v>
      </c>
      <c r="I72" s="233">
        <f>J72+K72</f>
        <v>0</v>
      </c>
      <c r="J72" s="233"/>
      <c r="K72" s="233"/>
      <c r="L72" s="233">
        <f>M72+N72</f>
        <v>0</v>
      </c>
      <c r="M72" s="297"/>
      <c r="N72" s="297"/>
      <c r="O72" s="89" t="s">
        <v>1056</v>
      </c>
      <c r="P72" s="70"/>
    </row>
    <row r="73" spans="1:16" ht="56.25" customHeight="1">
      <c r="A73" s="217">
        <v>41</v>
      </c>
      <c r="B73" s="89" t="s">
        <v>1114</v>
      </c>
      <c r="C73" s="223"/>
      <c r="D73" s="219" t="s">
        <v>1113</v>
      </c>
      <c r="E73" s="232">
        <v>93832.7</v>
      </c>
      <c r="F73" s="233">
        <f>G73+H73</f>
        <v>0</v>
      </c>
      <c r="G73" s="233">
        <f>5000+10000+1847.4-16847.4</f>
        <v>0</v>
      </c>
      <c r="H73" s="233"/>
      <c r="I73" s="233">
        <f>J73+K73</f>
        <v>0</v>
      </c>
      <c r="J73" s="233">
        <f>4702.6+7890.8-4702.6-7890.8</f>
        <v>0</v>
      </c>
      <c r="K73" s="233"/>
      <c r="L73" s="233">
        <f>M73+N73</f>
        <v>0</v>
      </c>
      <c r="M73" s="297"/>
      <c r="N73" s="297"/>
      <c r="O73" s="89" t="s">
        <v>1115</v>
      </c>
      <c r="P73" s="70"/>
    </row>
    <row r="74" spans="1:16" ht="36" customHeight="1">
      <c r="A74" s="217">
        <v>42</v>
      </c>
      <c r="B74" s="89" t="s">
        <v>1070</v>
      </c>
      <c r="C74" s="223"/>
      <c r="D74" s="219">
        <v>2020</v>
      </c>
      <c r="E74" s="232">
        <v>3790</v>
      </c>
      <c r="F74" s="233">
        <f>G74+H74</f>
        <v>3790</v>
      </c>
      <c r="G74" s="233">
        <v>3790</v>
      </c>
      <c r="H74" s="233"/>
      <c r="I74" s="233">
        <f>J74+K74</f>
        <v>0</v>
      </c>
      <c r="J74" s="233"/>
      <c r="K74" s="233"/>
      <c r="L74" s="233">
        <f>M74+N74</f>
        <v>0</v>
      </c>
      <c r="M74" s="233"/>
      <c r="N74" s="233"/>
      <c r="O74" s="89" t="s">
        <v>1071</v>
      </c>
      <c r="P74" s="70"/>
    </row>
    <row r="75" spans="1:16" ht="36" customHeight="1" hidden="1">
      <c r="A75" s="217">
        <v>42</v>
      </c>
      <c r="B75" s="89" t="s">
        <v>1117</v>
      </c>
      <c r="C75" s="223"/>
      <c r="D75" s="219">
        <v>2020</v>
      </c>
      <c r="E75" s="232"/>
      <c r="F75" s="233">
        <f>G75+H75</f>
        <v>0</v>
      </c>
      <c r="G75" s="233"/>
      <c r="H75" s="233"/>
      <c r="I75" s="233">
        <f>J75+K75</f>
        <v>0</v>
      </c>
      <c r="J75" s="233"/>
      <c r="K75" s="233"/>
      <c r="L75" s="233">
        <f>M75+N75</f>
        <v>0</v>
      </c>
      <c r="M75" s="233"/>
      <c r="N75" s="233"/>
      <c r="O75" s="89" t="s">
        <v>1115</v>
      </c>
      <c r="P75" s="70"/>
    </row>
    <row r="76" spans="1:16" ht="51" customHeight="1">
      <c r="A76" s="217">
        <v>43</v>
      </c>
      <c r="B76" s="89" t="s">
        <v>991</v>
      </c>
      <c r="C76" s="223"/>
      <c r="D76" s="219" t="s">
        <v>1040</v>
      </c>
      <c r="E76" s="232">
        <v>60000</v>
      </c>
      <c r="F76" s="233">
        <f>G76+H76</f>
        <v>12039.099999999999</v>
      </c>
      <c r="G76" s="233">
        <f>10500+448.3+590.8+500+5431-5431</f>
        <v>12039.099999999999</v>
      </c>
      <c r="H76" s="233"/>
      <c r="I76" s="233">
        <f>J76+K76</f>
        <v>6150</v>
      </c>
      <c r="J76" s="233">
        <f>9000-1297+1297-2850</f>
        <v>6150</v>
      </c>
      <c r="K76" s="233"/>
      <c r="L76" s="233">
        <f>M76+N76</f>
        <v>11000</v>
      </c>
      <c r="M76" s="233">
        <v>11000</v>
      </c>
      <c r="N76" s="233"/>
      <c r="O76" s="70" t="s">
        <v>1057</v>
      </c>
      <c r="P76" s="70"/>
    </row>
    <row r="77" spans="1:16" ht="19.5" customHeight="1">
      <c r="A77" s="217"/>
      <c r="B77" s="228" t="s">
        <v>917</v>
      </c>
      <c r="C77" s="223"/>
      <c r="D77" s="223"/>
      <c r="E77" s="242">
        <f aca="true" t="shared" si="16" ref="E77:N77">SUM(E72:E76)</f>
        <v>161322.7</v>
      </c>
      <c r="F77" s="242">
        <f t="shared" si="16"/>
        <v>19529.1</v>
      </c>
      <c r="G77" s="242">
        <f t="shared" si="16"/>
        <v>17029.1</v>
      </c>
      <c r="H77" s="242">
        <f t="shared" si="16"/>
        <v>2500</v>
      </c>
      <c r="I77" s="242">
        <f t="shared" si="16"/>
        <v>6150</v>
      </c>
      <c r="J77" s="242">
        <f t="shared" si="16"/>
        <v>6150</v>
      </c>
      <c r="K77" s="242">
        <f t="shared" si="16"/>
        <v>0</v>
      </c>
      <c r="L77" s="242">
        <f t="shared" si="16"/>
        <v>11000</v>
      </c>
      <c r="M77" s="242">
        <f t="shared" si="16"/>
        <v>11000</v>
      </c>
      <c r="N77" s="242">
        <f t="shared" si="16"/>
        <v>0</v>
      </c>
      <c r="O77" s="240"/>
      <c r="P77" s="70"/>
    </row>
    <row r="78" spans="1:16" s="244" customFormat="1" ht="18.75" customHeight="1" hidden="1">
      <c r="A78" s="412" t="s">
        <v>399</v>
      </c>
      <c r="B78" s="405"/>
      <c r="C78" s="405"/>
      <c r="D78" s="405"/>
      <c r="E78" s="405"/>
      <c r="F78" s="405"/>
      <c r="G78" s="405"/>
      <c r="H78" s="405"/>
      <c r="I78" s="405"/>
      <c r="J78" s="405"/>
      <c r="K78" s="405"/>
      <c r="L78" s="405"/>
      <c r="M78" s="405"/>
      <c r="N78" s="405"/>
      <c r="O78" s="406"/>
      <c r="P78" s="66"/>
    </row>
    <row r="79" spans="1:16" s="143" customFormat="1" ht="18" customHeight="1" hidden="1">
      <c r="A79" s="217"/>
      <c r="B79" s="222"/>
      <c r="C79" s="229"/>
      <c r="D79" s="219"/>
      <c r="E79" s="240"/>
      <c r="F79" s="240">
        <f>G79+H79</f>
        <v>0</v>
      </c>
      <c r="G79" s="240"/>
      <c r="H79" s="240"/>
      <c r="I79" s="241"/>
      <c r="J79" s="241"/>
      <c r="K79" s="241"/>
      <c r="L79" s="241"/>
      <c r="M79" s="241"/>
      <c r="N79" s="241"/>
      <c r="O79" s="222"/>
      <c r="P79" s="146"/>
    </row>
    <row r="80" spans="1:16" s="143" customFormat="1" ht="14.25" customHeight="1" hidden="1">
      <c r="A80" s="66"/>
      <c r="B80" s="140" t="s">
        <v>918</v>
      </c>
      <c r="C80" s="229"/>
      <c r="D80" s="229"/>
      <c r="E80" s="242">
        <f aca="true" t="shared" si="17" ref="E80:M80">E79</f>
        <v>0</v>
      </c>
      <c r="F80" s="242">
        <f t="shared" si="17"/>
        <v>0</v>
      </c>
      <c r="G80" s="242">
        <f t="shared" si="17"/>
        <v>0</v>
      </c>
      <c r="H80" s="242">
        <f t="shared" si="17"/>
        <v>0</v>
      </c>
      <c r="I80" s="242"/>
      <c r="J80" s="242">
        <f t="shared" si="17"/>
        <v>0</v>
      </c>
      <c r="K80" s="242"/>
      <c r="L80" s="242"/>
      <c r="M80" s="242">
        <f t="shared" si="17"/>
        <v>0</v>
      </c>
      <c r="N80" s="242"/>
      <c r="O80" s="222"/>
      <c r="P80" s="146"/>
    </row>
    <row r="81" spans="1:16" ht="21" customHeight="1">
      <c r="A81" s="66"/>
      <c r="B81" s="245" t="s">
        <v>919</v>
      </c>
      <c r="C81" s="66"/>
      <c r="D81" s="66"/>
      <c r="E81" s="23">
        <f aca="true" t="shared" si="18" ref="E81:N81">E77+E69+E59+E80+E17</f>
        <v>1589508.8</v>
      </c>
      <c r="F81" s="23">
        <f t="shared" si="18"/>
        <v>524066.3</v>
      </c>
      <c r="G81" s="23">
        <f t="shared" si="18"/>
        <v>100342.40000000001</v>
      </c>
      <c r="H81" s="23">
        <f t="shared" si="18"/>
        <v>423723.9</v>
      </c>
      <c r="I81" s="23">
        <f t="shared" si="18"/>
        <v>496400.2</v>
      </c>
      <c r="J81" s="23">
        <f t="shared" si="18"/>
        <v>72031.5</v>
      </c>
      <c r="K81" s="23">
        <f t="shared" si="18"/>
        <v>424368.69999999995</v>
      </c>
      <c r="L81" s="23">
        <f t="shared" si="18"/>
        <v>411075.4</v>
      </c>
      <c r="M81" s="23">
        <f t="shared" si="18"/>
        <v>69177.7</v>
      </c>
      <c r="N81" s="23">
        <f t="shared" si="18"/>
        <v>341897.69999999995</v>
      </c>
      <c r="O81" s="232"/>
      <c r="P81" s="70"/>
    </row>
    <row r="91" ht="15">
      <c r="K91" s="246" t="s">
        <v>1111</v>
      </c>
    </row>
  </sheetData>
  <sheetProtection/>
  <mergeCells count="29">
    <mergeCell ref="A8:O8"/>
    <mergeCell ref="A11:A12"/>
    <mergeCell ref="B11:B12"/>
    <mergeCell ref="C11:C12"/>
    <mergeCell ref="D11:D12"/>
    <mergeCell ref="E11:E12"/>
    <mergeCell ref="F11:F12"/>
    <mergeCell ref="G11:H11"/>
    <mergeCell ref="O11:O12"/>
    <mergeCell ref="I11:I12"/>
    <mergeCell ref="P11:P12"/>
    <mergeCell ref="A13:O13"/>
    <mergeCell ref="B14:O14"/>
    <mergeCell ref="A18:O18"/>
    <mergeCell ref="A19:O19"/>
    <mergeCell ref="A33:O33"/>
    <mergeCell ref="J11:K11"/>
    <mergeCell ref="L11:L12"/>
    <mergeCell ref="M11:N11"/>
    <mergeCell ref="A78:O78"/>
    <mergeCell ref="A70:O70"/>
    <mergeCell ref="A71:O71"/>
    <mergeCell ref="A53:O53"/>
    <mergeCell ref="A34:A35"/>
    <mergeCell ref="B34:B35"/>
    <mergeCell ref="A38:A39"/>
    <mergeCell ref="B38:B39"/>
    <mergeCell ref="A60:O60"/>
    <mergeCell ref="A61:O61"/>
  </mergeCells>
  <printOptions/>
  <pageMargins left="0" right="0" top="0.7480314960629921" bottom="0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G23" sqref="G23"/>
    </sheetView>
  </sheetViews>
  <sheetFormatPr defaultColWidth="10.140625" defaultRowHeight="15"/>
  <cols>
    <col min="1" max="1" width="94.28125" style="253" customWidth="1"/>
    <col min="2" max="4" width="11.28125" style="252" customWidth="1"/>
    <col min="5" max="5" width="10.140625" style="73" customWidth="1"/>
    <col min="6" max="6" width="19.421875" style="73" customWidth="1"/>
    <col min="7" max="16384" width="10.140625" style="73" customWidth="1"/>
  </cols>
  <sheetData>
    <row r="1" spans="1:4" ht="15">
      <c r="A1" s="247"/>
      <c r="B1" s="248"/>
      <c r="C1" s="249"/>
      <c r="D1" s="249" t="s">
        <v>0</v>
      </c>
    </row>
    <row r="2" spans="1:4" ht="15">
      <c r="A2" s="250"/>
      <c r="B2" s="248"/>
      <c r="C2" s="249"/>
      <c r="D2" s="249" t="s">
        <v>1</v>
      </c>
    </row>
    <row r="3" spans="1:4" ht="15">
      <c r="A3" s="250"/>
      <c r="B3" s="156"/>
      <c r="C3" s="207"/>
      <c r="D3" s="207" t="s">
        <v>2</v>
      </c>
    </row>
    <row r="4" spans="1:4" ht="15">
      <c r="A4" s="250"/>
      <c r="B4" s="156"/>
      <c r="C4" s="207"/>
      <c r="D4" s="207" t="s">
        <v>1162</v>
      </c>
    </row>
    <row r="5" spans="1:4" ht="15">
      <c r="A5" s="250"/>
      <c r="B5" s="248"/>
      <c r="C5" s="248"/>
      <c r="D5" s="249" t="s">
        <v>846</v>
      </c>
    </row>
    <row r="6" spans="1:4" ht="15">
      <c r="A6" s="250"/>
      <c r="B6" s="248"/>
      <c r="C6" s="248"/>
      <c r="D6" s="248"/>
    </row>
    <row r="7" spans="1:2" ht="15">
      <c r="A7" s="250"/>
      <c r="B7" s="251"/>
    </row>
    <row r="8" spans="1:4" ht="45.75" customHeight="1">
      <c r="A8" s="445" t="s">
        <v>1024</v>
      </c>
      <c r="B8" s="353"/>
      <c r="C8" s="446"/>
      <c r="D8" s="447"/>
    </row>
    <row r="9" ht="14.25" customHeight="1">
      <c r="A9" s="247"/>
    </row>
    <row r="10" ht="15">
      <c r="A10" s="247"/>
    </row>
    <row r="11" spans="1:4" s="71" customFormat="1" ht="31.5" customHeight="1">
      <c r="A11" s="440" t="s">
        <v>130</v>
      </c>
      <c r="B11" s="442" t="s">
        <v>21</v>
      </c>
      <c r="C11" s="443"/>
      <c r="D11" s="444"/>
    </row>
    <row r="12" spans="1:4" ht="18.75" customHeight="1">
      <c r="A12" s="441"/>
      <c r="B12" s="72" t="s">
        <v>668</v>
      </c>
      <c r="C12" s="72" t="s">
        <v>749</v>
      </c>
      <c r="D12" s="72" t="s">
        <v>1017</v>
      </c>
    </row>
    <row r="13" spans="1:4" ht="21" customHeight="1">
      <c r="A13" s="85" t="s">
        <v>847</v>
      </c>
      <c r="B13" s="74">
        <v>46539.1</v>
      </c>
      <c r="C13" s="75">
        <v>46539.1</v>
      </c>
      <c r="D13" s="75">
        <v>46539.1</v>
      </c>
    </row>
    <row r="14" spans="1:4" ht="27" customHeight="1">
      <c r="A14" s="85" t="s">
        <v>848</v>
      </c>
      <c r="B14" s="74">
        <v>159964.4</v>
      </c>
      <c r="C14" s="75">
        <v>165771.5</v>
      </c>
      <c r="D14" s="75">
        <v>171735.3</v>
      </c>
    </row>
    <row r="15" spans="1:4" s="77" customFormat="1" ht="18" customHeight="1">
      <c r="A15" s="76" t="s">
        <v>849</v>
      </c>
      <c r="B15" s="36">
        <f>SUM(B13:B14)</f>
        <v>206503.5</v>
      </c>
      <c r="C15" s="36">
        <f>SUM(C13:C14)</f>
        <v>212310.6</v>
      </c>
      <c r="D15" s="36">
        <f>SUM(D13:D14)</f>
        <v>218274.4</v>
      </c>
    </row>
    <row r="16" spans="1:4" ht="21" customHeight="1">
      <c r="A16" s="78" t="s">
        <v>141</v>
      </c>
      <c r="B16" s="74">
        <v>196.6</v>
      </c>
      <c r="C16" s="75">
        <v>200</v>
      </c>
      <c r="D16" s="75">
        <v>210</v>
      </c>
    </row>
    <row r="17" spans="1:4" ht="18" customHeight="1">
      <c r="A17" s="78" t="s">
        <v>142</v>
      </c>
      <c r="B17" s="74">
        <v>196.6</v>
      </c>
      <c r="C17" s="75">
        <v>208.5</v>
      </c>
      <c r="D17" s="75">
        <v>211.9</v>
      </c>
    </row>
    <row r="18" spans="1:4" ht="22.5" customHeight="1" hidden="1">
      <c r="A18" s="78" t="s">
        <v>850</v>
      </c>
      <c r="B18" s="74"/>
      <c r="C18" s="75"/>
      <c r="D18" s="75"/>
    </row>
    <row r="19" spans="1:4" ht="33" customHeight="1" hidden="1">
      <c r="A19" s="79" t="s">
        <v>796</v>
      </c>
      <c r="B19" s="74"/>
      <c r="C19" s="75"/>
      <c r="D19" s="75"/>
    </row>
    <row r="20" spans="1:4" ht="31.5" customHeight="1">
      <c r="A20" s="80" t="s">
        <v>851</v>
      </c>
      <c r="B20" s="74">
        <f>82.9+67.1</f>
        <v>150</v>
      </c>
      <c r="C20" s="75">
        <v>728.2</v>
      </c>
      <c r="D20" s="75">
        <v>550</v>
      </c>
    </row>
    <row r="21" spans="1:4" ht="32.25" customHeight="1">
      <c r="A21" s="80" t="s">
        <v>808</v>
      </c>
      <c r="B21" s="74">
        <v>85</v>
      </c>
      <c r="C21" s="75">
        <v>273</v>
      </c>
      <c r="D21" s="75"/>
    </row>
    <row r="22" spans="1:4" ht="32.25" customHeight="1">
      <c r="A22" s="80" t="s">
        <v>865</v>
      </c>
      <c r="B22" s="74">
        <f>1750-1750</f>
        <v>0</v>
      </c>
      <c r="C22" s="75">
        <v>1290</v>
      </c>
      <c r="D22" s="75">
        <f>1800+3821</f>
        <v>5621</v>
      </c>
    </row>
    <row r="23" spans="1:4" ht="19.5" customHeight="1">
      <c r="A23" s="80" t="s">
        <v>725</v>
      </c>
      <c r="B23" s="74">
        <v>784.7</v>
      </c>
      <c r="C23" s="75">
        <v>784.7</v>
      </c>
      <c r="D23" s="75">
        <v>784.7</v>
      </c>
    </row>
    <row r="24" spans="1:4" ht="30.75" customHeight="1">
      <c r="A24" s="80" t="s">
        <v>867</v>
      </c>
      <c r="B24" s="74">
        <f>900+160-160+160-150</f>
        <v>910</v>
      </c>
      <c r="C24" s="75">
        <v>712</v>
      </c>
      <c r="D24" s="75">
        <v>559.5</v>
      </c>
    </row>
    <row r="25" spans="1:4" ht="32.25" customHeight="1">
      <c r="A25" s="80" t="s">
        <v>797</v>
      </c>
      <c r="B25" s="74">
        <f>860+150</f>
        <v>1010</v>
      </c>
      <c r="C25" s="75">
        <v>1610</v>
      </c>
      <c r="D25" s="75">
        <v>1850</v>
      </c>
    </row>
    <row r="26" spans="1:4" ht="34.5" customHeight="1">
      <c r="A26" s="80" t="s">
        <v>1116</v>
      </c>
      <c r="B26" s="74">
        <v>300</v>
      </c>
      <c r="C26" s="75"/>
      <c r="D26" s="75"/>
    </row>
    <row r="27" spans="1:4" ht="33" customHeight="1">
      <c r="A27" s="80" t="s">
        <v>1010</v>
      </c>
      <c r="B27" s="74"/>
      <c r="C27" s="75"/>
      <c r="D27" s="75">
        <v>295</v>
      </c>
    </row>
    <row r="28" spans="1:4" ht="26.25" customHeight="1" hidden="1">
      <c r="A28" s="80" t="s">
        <v>852</v>
      </c>
      <c r="B28" s="74"/>
      <c r="C28" s="75"/>
      <c r="D28" s="75"/>
    </row>
    <row r="29" spans="1:4" ht="30" customHeight="1" hidden="1">
      <c r="A29" s="80" t="s">
        <v>982</v>
      </c>
      <c r="B29" s="74"/>
      <c r="C29" s="75"/>
      <c r="D29" s="75"/>
    </row>
    <row r="30" spans="1:4" ht="26.25" customHeight="1" hidden="1">
      <c r="A30" s="80" t="s">
        <v>630</v>
      </c>
      <c r="B30" s="74"/>
      <c r="C30" s="75"/>
      <c r="D30" s="75"/>
    </row>
    <row r="31" spans="1:4" s="77" customFormat="1" ht="18.75" customHeight="1">
      <c r="A31" s="78" t="s">
        <v>853</v>
      </c>
      <c r="B31" s="74">
        <f>4105.6</f>
        <v>4105.6</v>
      </c>
      <c r="C31" s="75">
        <v>2188</v>
      </c>
      <c r="D31" s="75">
        <v>2259.5</v>
      </c>
    </row>
    <row r="32" spans="1:4" s="77" customFormat="1" ht="28.5" customHeight="1" hidden="1">
      <c r="A32" s="78" t="s">
        <v>143</v>
      </c>
      <c r="B32" s="74"/>
      <c r="C32" s="75"/>
      <c r="D32" s="75"/>
    </row>
    <row r="33" spans="1:4" s="77" customFormat="1" ht="28.5" customHeight="1" hidden="1">
      <c r="A33" s="78" t="s">
        <v>854</v>
      </c>
      <c r="B33" s="74"/>
      <c r="C33" s="75"/>
      <c r="D33" s="75"/>
    </row>
    <row r="34" spans="1:4" s="77" customFormat="1" ht="18" customHeight="1">
      <c r="A34" s="78" t="s">
        <v>855</v>
      </c>
      <c r="B34" s="74">
        <v>230.7</v>
      </c>
      <c r="C34" s="74">
        <v>230.7</v>
      </c>
      <c r="D34" s="75">
        <v>230.7</v>
      </c>
    </row>
    <row r="35" spans="1:4" s="77" customFormat="1" ht="30.75" customHeight="1" hidden="1">
      <c r="A35" s="78" t="s">
        <v>856</v>
      </c>
      <c r="B35" s="74"/>
      <c r="C35" s="75"/>
      <c r="D35" s="75"/>
    </row>
    <row r="36" spans="1:4" s="77" customFormat="1" ht="25.5" customHeight="1" hidden="1">
      <c r="A36" s="81" t="s">
        <v>857</v>
      </c>
      <c r="B36" s="74"/>
      <c r="C36" s="75"/>
      <c r="D36" s="75"/>
    </row>
    <row r="37" spans="1:4" s="77" customFormat="1" ht="48.75" customHeight="1">
      <c r="A37" s="79" t="s">
        <v>858</v>
      </c>
      <c r="B37" s="74">
        <v>2318</v>
      </c>
      <c r="C37" s="75">
        <v>2138</v>
      </c>
      <c r="D37" s="75">
        <v>2138</v>
      </c>
    </row>
    <row r="38" spans="1:4" s="77" customFormat="1" ht="33" customHeight="1">
      <c r="A38" s="79" t="s">
        <v>828</v>
      </c>
      <c r="B38" s="74">
        <v>72.4</v>
      </c>
      <c r="C38" s="75">
        <v>74</v>
      </c>
      <c r="D38" s="75">
        <v>74</v>
      </c>
    </row>
    <row r="39" spans="1:4" s="77" customFormat="1" ht="32.25" customHeight="1">
      <c r="A39" s="79" t="s">
        <v>859</v>
      </c>
      <c r="B39" s="74">
        <f>73.6+250</f>
        <v>323.6</v>
      </c>
      <c r="C39" s="75">
        <v>76</v>
      </c>
      <c r="D39" s="75">
        <v>76</v>
      </c>
    </row>
    <row r="40" spans="1:4" s="77" customFormat="1" ht="40.5" customHeight="1" hidden="1">
      <c r="A40" s="79" t="s">
        <v>860</v>
      </c>
      <c r="B40" s="74"/>
      <c r="C40" s="74"/>
      <c r="D40" s="74"/>
    </row>
    <row r="41" spans="1:4" s="77" customFormat="1" ht="32.25" customHeight="1">
      <c r="A41" s="79" t="s">
        <v>829</v>
      </c>
      <c r="B41" s="74">
        <v>99.9</v>
      </c>
      <c r="C41" s="75">
        <v>100</v>
      </c>
      <c r="D41" s="75">
        <v>100</v>
      </c>
    </row>
    <row r="42" spans="1:4" s="77" customFormat="1" ht="33.75" customHeight="1">
      <c r="A42" s="79" t="s">
        <v>801</v>
      </c>
      <c r="B42" s="74">
        <v>21</v>
      </c>
      <c r="C42" s="75">
        <v>25</v>
      </c>
      <c r="D42" s="75">
        <v>25</v>
      </c>
    </row>
    <row r="43" spans="1:4" s="77" customFormat="1" ht="35.25" customHeight="1">
      <c r="A43" s="79" t="s">
        <v>514</v>
      </c>
      <c r="B43" s="74">
        <v>40.4</v>
      </c>
      <c r="C43" s="75">
        <v>42</v>
      </c>
      <c r="D43" s="75">
        <v>42</v>
      </c>
    </row>
    <row r="44" spans="1:6" s="77" customFormat="1" ht="19.5" customHeight="1">
      <c r="A44" s="79" t="s">
        <v>861</v>
      </c>
      <c r="B44" s="74">
        <v>23.7</v>
      </c>
      <c r="C44" s="75">
        <v>24</v>
      </c>
      <c r="D44" s="75">
        <v>24</v>
      </c>
      <c r="F44" s="82"/>
    </row>
    <row r="45" spans="1:4" s="77" customFormat="1" ht="31.5" customHeight="1">
      <c r="A45" s="79" t="s">
        <v>512</v>
      </c>
      <c r="B45" s="74">
        <v>27.9</v>
      </c>
      <c r="C45" s="75">
        <v>27</v>
      </c>
      <c r="D45" s="75">
        <v>27</v>
      </c>
    </row>
    <row r="46" spans="1:4" s="77" customFormat="1" ht="33.75" customHeight="1">
      <c r="A46" s="79" t="s">
        <v>862</v>
      </c>
      <c r="B46" s="74">
        <v>8.9</v>
      </c>
      <c r="C46" s="75">
        <v>10</v>
      </c>
      <c r="D46" s="75">
        <v>10</v>
      </c>
    </row>
    <row r="47" spans="1:4" s="77" customFormat="1" ht="35.25" customHeight="1" hidden="1">
      <c r="A47" s="79" t="s">
        <v>866</v>
      </c>
      <c r="B47" s="74"/>
      <c r="C47" s="75"/>
      <c r="D47" s="75"/>
    </row>
    <row r="48" spans="1:4" s="77" customFormat="1" ht="48" customHeight="1">
      <c r="A48" s="79" t="s">
        <v>1061</v>
      </c>
      <c r="B48" s="74">
        <v>4917.4</v>
      </c>
      <c r="C48" s="75"/>
      <c r="D48" s="75"/>
    </row>
    <row r="49" spans="1:4" s="77" customFormat="1" ht="31.5" customHeight="1">
      <c r="A49" s="79" t="s">
        <v>628</v>
      </c>
      <c r="B49" s="74">
        <f>10000-4917.4+2818.8+475.1+467+496+606+2682+1500+500+4000+150-7289.9+8601.4</f>
        <v>20089</v>
      </c>
      <c r="C49" s="75">
        <v>10000</v>
      </c>
      <c r="D49" s="75">
        <v>10000</v>
      </c>
    </row>
    <row r="50" spans="1:4" s="77" customFormat="1" ht="31.5" customHeight="1">
      <c r="A50" s="79" t="s">
        <v>748</v>
      </c>
      <c r="B50" s="74">
        <v>500</v>
      </c>
      <c r="C50" s="75">
        <v>500</v>
      </c>
      <c r="D50" s="75">
        <v>500</v>
      </c>
    </row>
    <row r="51" spans="1:4" s="77" customFormat="1" ht="46.5" customHeight="1">
      <c r="A51" s="80" t="s">
        <v>1047</v>
      </c>
      <c r="B51" s="74">
        <v>240</v>
      </c>
      <c r="C51" s="75">
        <v>240</v>
      </c>
      <c r="D51" s="75">
        <v>240</v>
      </c>
    </row>
    <row r="52" spans="1:4" s="77" customFormat="1" ht="36" customHeight="1">
      <c r="A52" s="79" t="s">
        <v>739</v>
      </c>
      <c r="B52" s="74">
        <f>1745.4+20039.4</f>
        <v>21784.800000000003</v>
      </c>
      <c r="C52" s="75"/>
      <c r="D52" s="75"/>
    </row>
    <row r="53" spans="1:4" s="77" customFormat="1" ht="51.75" customHeight="1">
      <c r="A53" s="79" t="s">
        <v>994</v>
      </c>
      <c r="B53" s="74">
        <f>10371+226.6-10000</f>
        <v>597.6000000000004</v>
      </c>
      <c r="C53" s="75"/>
      <c r="D53" s="75"/>
    </row>
    <row r="54" spans="1:4" s="77" customFormat="1" ht="51.75" customHeight="1">
      <c r="A54" s="79" t="s">
        <v>1121</v>
      </c>
      <c r="B54" s="74">
        <v>7712.9</v>
      </c>
      <c r="C54" s="75"/>
      <c r="D54" s="75"/>
    </row>
    <row r="55" spans="1:4" s="77" customFormat="1" ht="33.75" customHeight="1" hidden="1">
      <c r="A55" s="79" t="s">
        <v>996</v>
      </c>
      <c r="B55" s="74"/>
      <c r="C55" s="75"/>
      <c r="D55" s="75"/>
    </row>
    <row r="56" spans="1:4" s="77" customFormat="1" ht="31.5" customHeight="1" hidden="1">
      <c r="A56" s="115" t="s">
        <v>1014</v>
      </c>
      <c r="B56" s="74"/>
      <c r="C56" s="75"/>
      <c r="D56" s="75"/>
    </row>
    <row r="57" spans="1:4" ht="16.5" customHeight="1">
      <c r="A57" s="76" t="s">
        <v>863</v>
      </c>
      <c r="B57" s="36">
        <f>SUM(B16:B56)</f>
        <v>66746.7</v>
      </c>
      <c r="C57" s="36">
        <f>SUM(C16:C53)</f>
        <v>21481.1</v>
      </c>
      <c r="D57" s="36">
        <f>SUM(D16:D53)</f>
        <v>25828.3</v>
      </c>
    </row>
    <row r="58" spans="1:4" ht="15.75" customHeight="1">
      <c r="A58" s="83" t="s">
        <v>864</v>
      </c>
      <c r="B58" s="84">
        <f>B57+B15</f>
        <v>273250.2</v>
      </c>
      <c r="C58" s="84">
        <f>C57+C15</f>
        <v>233791.7</v>
      </c>
      <c r="D58" s="84">
        <f>D57+D15</f>
        <v>244102.69999999998</v>
      </c>
    </row>
  </sheetData>
  <sheetProtection/>
  <mergeCells count="3">
    <mergeCell ref="A11:A12"/>
    <mergeCell ref="B11:D11"/>
    <mergeCell ref="A8:D8"/>
  </mergeCells>
  <printOptions/>
  <pageMargins left="0.7086614173228347" right="0.11811023622047245" top="0.7480314960629921" bottom="0" header="0.31496062992125984" footer="0.31496062992125984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I7" sqref="I7"/>
    </sheetView>
  </sheetViews>
  <sheetFormatPr defaultColWidth="8.7109375" defaultRowHeight="15"/>
  <cols>
    <col min="1" max="1" width="70.28125" style="329" customWidth="1"/>
    <col min="2" max="2" width="14.28125" style="330" customWidth="1"/>
    <col min="3" max="4" width="14.28125" style="329" customWidth="1"/>
    <col min="5" max="16384" width="8.7109375" style="329" customWidth="1"/>
  </cols>
  <sheetData>
    <row r="1" spans="1:4" s="2" customFormat="1" ht="15" customHeight="1">
      <c r="A1" s="456"/>
      <c r="B1" s="456"/>
      <c r="C1" s="456" t="s">
        <v>0</v>
      </c>
      <c r="D1" s="456"/>
    </row>
    <row r="2" spans="1:4" s="2" customFormat="1" ht="15" customHeight="1">
      <c r="A2" s="448"/>
      <c r="B2" s="448"/>
      <c r="C2" s="448" t="s">
        <v>1</v>
      </c>
      <c r="D2" s="448"/>
    </row>
    <row r="3" spans="1:4" s="2" customFormat="1" ht="15" customHeight="1">
      <c r="A3" s="448"/>
      <c r="B3" s="448"/>
      <c r="C3" s="448" t="s">
        <v>2</v>
      </c>
      <c r="D3" s="448"/>
    </row>
    <row r="4" spans="1:4" s="2" customFormat="1" ht="15" customHeight="1">
      <c r="A4" s="448"/>
      <c r="B4" s="448"/>
      <c r="C4" s="448" t="s">
        <v>1161</v>
      </c>
      <c r="D4" s="448"/>
    </row>
    <row r="5" spans="1:4" s="2" customFormat="1" ht="15" customHeight="1">
      <c r="A5" s="448"/>
      <c r="B5" s="448"/>
      <c r="C5" s="448" t="s">
        <v>1134</v>
      </c>
      <c r="D5" s="448"/>
    </row>
    <row r="7" spans="1:4" ht="56.25" customHeight="1">
      <c r="A7" s="449" t="s">
        <v>1135</v>
      </c>
      <c r="B7" s="449"/>
      <c r="C7" s="450"/>
      <c r="D7" s="450"/>
    </row>
    <row r="10" spans="1:4" s="331" customFormat="1" ht="36.75" customHeight="1">
      <c r="A10" s="451" t="s">
        <v>1136</v>
      </c>
      <c r="B10" s="453" t="s">
        <v>21</v>
      </c>
      <c r="C10" s="454"/>
      <c r="D10" s="455"/>
    </row>
    <row r="11" spans="1:4" s="331" customFormat="1" ht="28.5" customHeight="1">
      <c r="A11" s="452"/>
      <c r="B11" s="332" t="s">
        <v>668</v>
      </c>
      <c r="C11" s="333" t="s">
        <v>749</v>
      </c>
      <c r="D11" s="333" t="s">
        <v>1017</v>
      </c>
    </row>
    <row r="12" spans="1:4" ht="23.25" customHeight="1">
      <c r="A12" s="334" t="s">
        <v>1137</v>
      </c>
      <c r="B12" s="335">
        <v>841</v>
      </c>
      <c r="C12" s="336">
        <v>802.5</v>
      </c>
      <c r="D12" s="336"/>
    </row>
    <row r="13" spans="1:4" ht="20.25" customHeight="1">
      <c r="A13" s="334" t="s">
        <v>1138</v>
      </c>
      <c r="B13" s="335">
        <f>4000-4000+548.3</f>
        <v>548.3</v>
      </c>
      <c r="C13" s="336"/>
      <c r="D13" s="336"/>
    </row>
    <row r="14" spans="1:4" ht="23.25" customHeight="1">
      <c r="A14" s="334" t="s">
        <v>1139</v>
      </c>
      <c r="B14" s="335">
        <f>478.1+500+846.5</f>
        <v>1824.6</v>
      </c>
      <c r="C14" s="336"/>
      <c r="D14" s="336"/>
    </row>
    <row r="15" spans="1:4" ht="23.25" customHeight="1">
      <c r="A15" s="334" t="s">
        <v>1140</v>
      </c>
      <c r="B15" s="335">
        <f>923.4+181.6</f>
        <v>1105</v>
      </c>
      <c r="C15" s="336">
        <v>2165.3</v>
      </c>
      <c r="D15" s="336"/>
    </row>
    <row r="16" spans="1:4" ht="23.25" customHeight="1">
      <c r="A16" s="334" t="s">
        <v>1141</v>
      </c>
      <c r="B16" s="335">
        <f>467+2682-2682+892.1+43.5</f>
        <v>1402.6</v>
      </c>
      <c r="C16" s="336"/>
      <c r="D16" s="336"/>
    </row>
    <row r="17" spans="1:4" ht="23.25" customHeight="1">
      <c r="A17" s="334" t="s">
        <v>1142</v>
      </c>
      <c r="B17" s="335">
        <f>145.1+200+399.1+75.8</f>
        <v>820</v>
      </c>
      <c r="C17" s="336"/>
      <c r="D17" s="336"/>
    </row>
    <row r="18" spans="1:4" ht="23.25" customHeight="1">
      <c r="A18" s="334" t="s">
        <v>1143</v>
      </c>
      <c r="B18" s="335">
        <f>606+205.2</f>
        <v>811.2</v>
      </c>
      <c r="C18" s="336"/>
      <c r="D18" s="336"/>
    </row>
    <row r="19" spans="1:4" ht="23.25" customHeight="1">
      <c r="A19" s="334" t="s">
        <v>1144</v>
      </c>
      <c r="B19" s="335">
        <f>139.3+200+676.6</f>
        <v>1015.9000000000001</v>
      </c>
      <c r="C19" s="336">
        <v>1600</v>
      </c>
      <c r="D19" s="336"/>
    </row>
    <row r="20" spans="1:4" ht="23.25" customHeight="1">
      <c r="A20" s="334" t="s">
        <v>1145</v>
      </c>
      <c r="B20" s="335">
        <f>200+74.1</f>
        <v>274.1</v>
      </c>
      <c r="C20" s="336"/>
      <c r="D20" s="336"/>
    </row>
    <row r="21" spans="1:4" ht="23.25" customHeight="1">
      <c r="A21" s="334" t="s">
        <v>1146</v>
      </c>
      <c r="B21" s="335">
        <f>496+150-150+477.6</f>
        <v>973.6</v>
      </c>
      <c r="C21" s="336"/>
      <c r="D21" s="336"/>
    </row>
    <row r="22" spans="1:4" ht="23.25" customHeight="1">
      <c r="A22" s="334" t="s">
        <v>1147</v>
      </c>
      <c r="B22" s="335">
        <f>1500-1500+650+279.3</f>
        <v>929.3</v>
      </c>
      <c r="C22" s="336">
        <v>746</v>
      </c>
      <c r="D22" s="336"/>
    </row>
    <row r="23" spans="1:4" ht="23.25" customHeight="1">
      <c r="A23" s="334" t="s">
        <v>1148</v>
      </c>
      <c r="B23" s="335">
        <f>475.1+500-500+70.4</f>
        <v>545.5</v>
      </c>
      <c r="C23" s="336">
        <v>1600</v>
      </c>
      <c r="D23" s="336"/>
    </row>
    <row r="24" spans="1:4" ht="23.25" customHeight="1">
      <c r="A24" s="334" t="s">
        <v>1149</v>
      </c>
      <c r="B24" s="335">
        <f>4483+600</f>
        <v>5083</v>
      </c>
      <c r="C24" s="336"/>
      <c r="D24" s="336"/>
    </row>
    <row r="25" spans="1:4" ht="23.25" customHeight="1">
      <c r="A25" s="334" t="s">
        <v>1150</v>
      </c>
      <c r="B25" s="335">
        <f>429.8+485.1+400+600+2000</f>
        <v>3914.9</v>
      </c>
      <c r="C25" s="336"/>
      <c r="D25" s="336"/>
    </row>
    <row r="26" spans="1:4" ht="23.25" customHeight="1" hidden="1">
      <c r="A26" s="337" t="s">
        <v>1151</v>
      </c>
      <c r="B26" s="335"/>
      <c r="C26" s="336"/>
      <c r="D26" s="336"/>
    </row>
    <row r="27" spans="1:4" ht="23.25" customHeight="1">
      <c r="A27" s="334" t="s">
        <v>1152</v>
      </c>
      <c r="B27" s="335">
        <f>5082.6-5082.6</f>
        <v>0</v>
      </c>
      <c r="C27" s="336">
        <f>10000-6913.8</f>
        <v>3086.2</v>
      </c>
      <c r="D27" s="336">
        <v>10000</v>
      </c>
    </row>
    <row r="28" spans="1:4" ht="23.25" customHeight="1">
      <c r="A28" s="338" t="s">
        <v>1153</v>
      </c>
      <c r="B28" s="339">
        <f>SUM(B12:B27)</f>
        <v>20089</v>
      </c>
      <c r="C28" s="339">
        <f>SUM(C12:C27)</f>
        <v>10000</v>
      </c>
      <c r="D28" s="339">
        <f>SUM(D12:D27)</f>
        <v>10000</v>
      </c>
    </row>
  </sheetData>
  <sheetProtection/>
  <mergeCells count="13">
    <mergeCell ref="A1:B1"/>
    <mergeCell ref="C1:D1"/>
    <mergeCell ref="A2:B2"/>
    <mergeCell ref="C2:D2"/>
    <mergeCell ref="A3:B3"/>
    <mergeCell ref="C3:D3"/>
    <mergeCell ref="A4:B4"/>
    <mergeCell ref="C4:D4"/>
    <mergeCell ref="A5:B5"/>
    <mergeCell ref="C5:D5"/>
    <mergeCell ref="A7:D7"/>
    <mergeCell ref="A10:A11"/>
    <mergeCell ref="B10:D1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2020-10-29T13:13:34Z</dcterms:modified>
  <cp:category/>
  <cp:version/>
  <cp:contentType/>
  <cp:contentStatus/>
</cp:coreProperties>
</file>