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45" windowWidth="15120" windowHeight="7110" firstSheet="1" activeTab="12"/>
  </bookViews>
  <sheets>
    <sheet name="Пр.1" sheetId="1" state="hidden" r:id="rId1"/>
    <sheet name="Пр. 1" sheetId="2" r:id="rId2"/>
    <sheet name="Пр.2" sheetId="3" r:id="rId3"/>
    <sheet name="Пр.3" sheetId="4" r:id="rId4"/>
    <sheet name="Пр.5" sheetId="5" r:id="rId5"/>
    <sheet name="Пр.8" sheetId="6" r:id="rId6"/>
    <sheet name="Пр. 9" sheetId="7" state="hidden" r:id="rId7"/>
    <sheet name="Пр. 11" sheetId="8" state="hidden" r:id="rId8"/>
    <sheet name="Пр.12" sheetId="9" state="hidden" r:id="rId9"/>
    <sheet name="Пр.13" sheetId="10" r:id="rId10"/>
    <sheet name="Пр.22" sheetId="11" r:id="rId11"/>
    <sheet name="Пр.26" sheetId="12" r:id="rId12"/>
    <sheet name="Пр.56" sheetId="13" r:id="rId13"/>
  </sheets>
  <definedNames>
    <definedName name="_xlnm.Print_Titles" localSheetId="7">'Пр. 11'!$11:$11</definedName>
    <definedName name="_xlnm.Print_Titles" localSheetId="6">'Пр. 9'!$17:$17</definedName>
    <definedName name="_xlnm.Print_Titles" localSheetId="9">'Пр.13'!$11:$12</definedName>
    <definedName name="_xlnm.Print_Titles" localSheetId="3">'Пр.3'!$11:$12</definedName>
  </definedNames>
  <calcPr fullCalcOnLoad="1"/>
</workbook>
</file>

<file path=xl/sharedStrings.xml><?xml version="1.0" encoding="utf-8"?>
<sst xmlns="http://schemas.openxmlformats.org/spreadsheetml/2006/main" count="14222" uniqueCount="1262">
  <si>
    <t>УТВЕРЖДЕНО</t>
  </si>
  <si>
    <t>решением Совета депутатов</t>
  </si>
  <si>
    <t>Волховского муниципального района</t>
  </si>
  <si>
    <t>код бюджетной</t>
  </si>
  <si>
    <t>классификации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</si>
  <si>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</si>
  <si>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</si>
  <si>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</si>
  <si>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</si>
  <si>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>Прочие неналоговые доходы бюджетов муниципальных районов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</si>
  <si>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</si>
  <si>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</si>
  <si>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</si>
  <si>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</si>
  <si>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</si>
  <si>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</si>
  <si>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</si>
  <si>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государственную регистрацию актов гражданского состояния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</si>
  <si>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</si>
  <si>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2 02 45144 05 0000 151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</si>
  <si>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</si>
  <si>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муниципальных районов</t>
  </si>
  <si>
    <t>Сумма
(тысяч рублей)</t>
  </si>
  <si>
    <t>КЦСР</t>
  </si>
  <si>
    <t>110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</si>
  <si>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</si>
  <si>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111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</si>
  <si>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</si>
  <si>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</si>
  <si>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112</t>
  </si>
  <si>
    <t>113</t>
  </si>
  <si>
    <t>Муниципальное казенное учреждение "Транспортно-хозяйственная эксплуатационная служба"</t>
  </si>
  <si>
    <t>114</t>
  </si>
  <si>
    <t>115</t>
  </si>
  <si>
    <t>118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</si>
  <si>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</si>
  <si>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119</t>
  </si>
  <si>
    <t>Контрольно-счетный орган Волховского муниципального района Ленинградской области</t>
  </si>
  <si>
    <t>120</t>
  </si>
  <si>
    <t>Наименование раздела и подраздела</t>
  </si>
  <si>
    <t>раздела</t>
  </si>
  <si>
    <t>подраздела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</si>
  <si>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</si>
  <si>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</si>
  <si>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</si>
  <si>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</si>
  <si>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</si>
  <si>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</si>
  <si>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</si>
  <si>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</si>
  <si>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</si>
  <si>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</si>
  <si>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</si>
  <si>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</si>
  <si>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</si>
  <si>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</si>
  <si>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</si>
  <si>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</si>
  <si>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</si>
  <si>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</si>
  <si>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</si>
  <si>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</si>
  <si>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</si>
  <si>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</si>
  <si>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</si>
  <si>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</si>
  <si>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</si>
  <si>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</si>
  <si>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</si>
  <si>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</si>
  <si>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</si>
  <si>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</si>
  <si>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</si>
  <si>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</si>
  <si>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</si>
  <si>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</si>
  <si>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</si>
  <si>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</si>
  <si>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</si>
  <si>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</si>
  <si>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</si>
  <si>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</si>
  <si>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</si>
  <si>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</si>
  <si>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</si>
  <si>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</si>
  <si>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</si>
  <si>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</si>
  <si>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</si>
  <si>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</si>
  <si>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</si>
  <si>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</si>
  <si>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</si>
  <si>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</si>
  <si>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</si>
  <si>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</si>
  <si>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</si>
  <si>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</si>
  <si>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</si>
  <si>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</si>
  <si>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</si>
  <si>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</si>
  <si>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</si>
  <si>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</si>
  <si>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</si>
  <si>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</si>
  <si>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</si>
  <si>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</si>
  <si>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</si>
  <si>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</si>
  <si>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</si>
  <si>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</si>
  <si>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</si>
  <si>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</si>
  <si>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</si>
  <si>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</si>
  <si>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</si>
  <si>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</si>
  <si>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</si>
  <si>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</si>
  <si>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</si>
  <si>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</si>
  <si>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</si>
  <si>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</si>
  <si>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</si>
  <si>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</si>
  <si>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</si>
  <si>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</si>
  <si>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</si>
  <si>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</si>
  <si>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</si>
  <si>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</si>
  <si>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</si>
  <si>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</si>
  <si>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Комитет финансов Волховского муниципального района Ленинградской области</t>
  </si>
  <si>
    <t>Наименование</t>
  </si>
  <si>
    <t>1</t>
  </si>
  <si>
    <t>2</t>
  </si>
  <si>
    <t>Администрация Волховского муниципального района Ленинградской области</t>
  </si>
  <si>
    <t>3</t>
  </si>
  <si>
    <t>4</t>
  </si>
  <si>
    <t>Комитет по управлению муниципальным имуществом Волховского муниципального района Ленинградской области</t>
  </si>
  <si>
    <t>5</t>
  </si>
  <si>
    <t xml:space="preserve">Подпрограмма "Развитие дошкольного образования детей Волховского муниципального района" </t>
  </si>
  <si>
    <t xml:space="preserve">Подпрограмма "Развитие дополнительного образования в Волховском муниципальном районе" </t>
  </si>
  <si>
    <t>Муниципальная программа Волховского муниципального района "Безопасность Волховского муниципального района"</t>
  </si>
  <si>
    <t xml:space="preserve">Иные межбюджетные трансферты на подготовку и выполнение  противопаводковых мероприятий </t>
  </si>
  <si>
    <t xml:space="preserve">Иные межбюджетные трансферты на подготовку и выполнение тушения лесных и торфяных пожаров 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</si>
  <si>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</si>
  <si>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Иные межбюджетные трансферты на  софинансирование строительства и капитального ремонта спортивных площадок</t>
  </si>
  <si>
    <t xml:space="preserve">КЦСР </t>
  </si>
  <si>
    <t>КВР</t>
  </si>
  <si>
    <t>КФСР</t>
  </si>
  <si>
    <t>01</t>
  </si>
  <si>
    <t>0</t>
  </si>
  <si>
    <t>00</t>
  </si>
  <si>
    <t>00000</t>
  </si>
  <si>
    <t xml:space="preserve">Подпрограмма "Энергосбережение и повышение энергетической эффективности на территории Волховского муниципального района" </t>
  </si>
  <si>
    <t>60010</t>
  </si>
  <si>
    <t xml:space="preserve">Иные межбюджетные трансферты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</si>
  <si>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</si>
  <si>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S4270</t>
  </si>
  <si>
    <t>60200</t>
  </si>
  <si>
    <t>На проектирование, строительство и реконструкцию объектов</t>
  </si>
  <si>
    <t>S0660</t>
  </si>
  <si>
    <t>Муниципальная программа Волховского муниципального района  "Обеспечение качественным жильем граждан на территории Волховского муниципального района"</t>
  </si>
  <si>
    <t>02</t>
  </si>
  <si>
    <t>51340</t>
  </si>
  <si>
    <t>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
Российской Федерации от 7 мая 2008 года №714 "Об обеспечении жильем ветеранов Великой Отечественной войны 1941-1945 годов"</t>
  </si>
  <si>
    <t>R1340</t>
  </si>
  <si>
    <t>51350</t>
  </si>
  <si>
    <t>R1350</t>
  </si>
  <si>
    <t>Сфера жилищных отношений</t>
  </si>
  <si>
    <t>71420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</si>
  <si>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</si>
  <si>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 xml:space="preserve">Предоставление гражданам единовременной денежной выплаты на проведение капитального ремонта индивидуальных жилых домов </t>
  </si>
  <si>
    <t>71640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</si>
  <si>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</si>
  <si>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</si>
  <si>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</si>
  <si>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</si>
  <si>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 Волховского муниципального района"</t>
  </si>
  <si>
    <t>Основное мероприятие "Выравнивание бюджетной обеспеченности муниципальных образований  городских и сельских поселений Волховского муниципального района"</t>
  </si>
  <si>
    <t>Дотация на выравнивание бюджетной обеспеченности за счет средств районного фонда финансовой поддержки поселений</t>
  </si>
  <si>
    <t>60130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</si>
  <si>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</si>
  <si>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71010</t>
  </si>
  <si>
    <t>Подпрограмма "Управление муниципальным долгом Волховского муниципального района Ленинградской области"</t>
  </si>
  <si>
    <t>Основное мероприятие "Повышение эффективности управления муниципальным долгом Волховского муниципального района"</t>
  </si>
  <si>
    <t>Процентные платежи по муниципальному долгу</t>
  </si>
  <si>
    <t>10730</t>
  </si>
  <si>
    <t>Обслуживание внутреннего государственного и муниципального долга</t>
  </si>
  <si>
    <t>Муниципальная программа Волховского муниципального района "Развитие культуры в Волховском муниципальном районе"</t>
  </si>
  <si>
    <t>04</t>
  </si>
  <si>
    <t>Подпрограмма "Обеспечение доступа жителей Волховского муниципального  района к культурным ценностям"</t>
  </si>
  <si>
    <t>Основное мероприятие "Развитие и модернизация библиотек"</t>
  </si>
  <si>
    <t>Обеспечение деятельности муниципальных казенных учреждений</t>
  </si>
  <si>
    <t>00160</t>
  </si>
  <si>
    <t>На обеспечение выплат стимулирующего характера работникам муниципальных учреждений культуры Ленинградской области</t>
  </si>
  <si>
    <t xml:space="preserve">Подпрограмма "Сохранение и развитие народной культуры и самодеятельного творчества в Волховском муниципальном районе" </t>
  </si>
  <si>
    <t xml:space="preserve">Предоставление субсидий муниципальным бюджетным учреждениям </t>
  </si>
  <si>
    <t>00170</t>
  </si>
  <si>
    <t>Выявление и поддержка молодых дарований</t>
  </si>
  <si>
    <t>10020</t>
  </si>
  <si>
    <t>10010</t>
  </si>
  <si>
    <t xml:space="preserve">Иные межбюджетные трансферты на организацию и проведение мероприятий в сфере культуры  </t>
  </si>
  <si>
    <t>60140</t>
  </si>
  <si>
    <t xml:space="preserve">Подпрограмма "Обеспечение условий реализации муниципальной программы "Развитие культуры в Волховском муниципальном районе" </t>
  </si>
  <si>
    <t>Осуществление мероприятий по проведению ремонтных работ</t>
  </si>
  <si>
    <t>04010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</si>
  <si>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</si>
  <si>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72020</t>
  </si>
  <si>
    <t xml:space="preserve">Комплектование книжных фондов библиотек Волховского муниципального района </t>
  </si>
  <si>
    <t>10030</t>
  </si>
  <si>
    <t>Муниципальная программа Волховского муниципального района "Развитие физической культуры и спорта в Волховском муниципальном районе"</t>
  </si>
  <si>
    <t>05</t>
  </si>
  <si>
    <t xml:space="preserve">Подпрограмма "Развитие физической культуры и массового спорта в  Волховском муниципальном районе" </t>
  </si>
  <si>
    <t xml:space="preserve"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</t>
  </si>
  <si>
    <t>10770</t>
  </si>
  <si>
    <t xml:space="preserve">Организация и проведение районных мероприятий и спортивных соревнований по различным  видам спорта среди различных групп населения </t>
  </si>
  <si>
    <t>10760</t>
  </si>
  <si>
    <t xml:space="preserve">Приобретение наградной и спортивной атрибутики, типографской и сувенирной продукции </t>
  </si>
  <si>
    <t>10780</t>
  </si>
  <si>
    <t>Реализация мероприятий по внедрению Всероссийского физкультурно-спортивного комплекса "Готов к труду и обороне" (ГТО)</t>
  </si>
  <si>
    <t>60220</t>
  </si>
  <si>
    <t xml:space="preserve">Подпрограмма "Развитие спорта высших достижений и системы подготовки спортивного резерва в Волховском муниципальном районе"  </t>
  </si>
  <si>
    <t xml:space="preserve"> Расходы на  приобретение спортивного инвентаря и оборудования для  учреждений</t>
  </si>
  <si>
    <t>10050</t>
  </si>
  <si>
    <t xml:space="preserve"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 </t>
  </si>
  <si>
    <t>10710</t>
  </si>
  <si>
    <t xml:space="preserve">Подпрограмма "Развитие объектов физической культуры и спорта в Волховском муниципальном районе"  </t>
  </si>
  <si>
    <t>Муниципальная программа Волховского муниципального района "Современное образование в Волховском муниципальном районе"</t>
  </si>
  <si>
    <t>06</t>
  </si>
  <si>
    <t>Основное мероприятие "Реализация образовательных программ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</si>
  <si>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</si>
  <si>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71350</t>
  </si>
  <si>
    <t/>
  </si>
  <si>
    <t>Организация разнообразных форм предоставления дошкольного и предшкольного образования</t>
  </si>
  <si>
    <t>70450</t>
  </si>
  <si>
    <t>Основное мероприятие "Выплата компенсаций части родительской платы  за содержание ребенка в дошкольном учреждении"</t>
  </si>
  <si>
    <t>Укрепление материально-технической базы организаций дошкольного образования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</si>
  <si>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</si>
  <si>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71360</t>
  </si>
  <si>
    <t>Основное мероприятие "Развитие инфраструктуры дошкольного образования"</t>
  </si>
  <si>
    <t xml:space="preserve">Осуществление мероприятий по проведению ремонтных работ </t>
  </si>
  <si>
    <t xml:space="preserve">Укрепление материально-технической базы учреждений дошкольного образования </t>
  </si>
  <si>
    <t>10060</t>
  </si>
  <si>
    <t>10790</t>
  </si>
  <si>
    <t xml:space="preserve">Подпрограмма "Развитие начального общего, основного общего и среднего общего образования детей в Волховском муниципальном районе" </t>
  </si>
  <si>
    <t>Основное мероприятие "Реализация образовательных программ общего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</si>
  <si>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</si>
  <si>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71530</t>
  </si>
  <si>
    <t>Основное мероприятие "Содействие развитию общего образования"</t>
  </si>
  <si>
    <t xml:space="preserve">Обновление содержания общего образования, создание современной образовательной среды и развитие сети </t>
  </si>
  <si>
    <t>10070</t>
  </si>
  <si>
    <t xml:space="preserve">Развитие воспитательного потенциала системы общего образования </t>
  </si>
  <si>
    <t>10090</t>
  </si>
  <si>
    <t>Укрепление материально-технической базы организаций общего образования</t>
  </si>
  <si>
    <t>70510</t>
  </si>
  <si>
    <t>6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</si>
  <si>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</si>
  <si>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71440</t>
  </si>
  <si>
    <t>Основное мероприятие "Развитие инфраструктуры общего образования"</t>
  </si>
  <si>
    <t xml:space="preserve">Укрепление материально-технической базы общеобразовательных учреждений </t>
  </si>
  <si>
    <t>10080</t>
  </si>
  <si>
    <t>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</si>
  <si>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 реновацию организаций общего образования</t>
  </si>
  <si>
    <t>S4300</t>
  </si>
  <si>
    <t>Основное мероприятие "Реализация программ дополнительного образования детей"</t>
  </si>
  <si>
    <t xml:space="preserve">Развитие системы дополнительного образования </t>
  </si>
  <si>
    <t>10100</t>
  </si>
  <si>
    <t>Укрепление материально-технической базы организаций дополнительного образования</t>
  </si>
  <si>
    <t>70570</t>
  </si>
  <si>
    <t xml:space="preserve">Укрепление материально-технической базы учреждений дополнительного образования </t>
  </si>
  <si>
    <t>10110</t>
  </si>
  <si>
    <t xml:space="preserve">Подпрограмма "Развитие кадрового потенциала социальной сферы Волховского муниципального района" </t>
  </si>
  <si>
    <t>Основное мероприятие "Развитие кадрового потенциала системы дошкольного, общего и дополнительного образования"</t>
  </si>
  <si>
    <t>10120</t>
  </si>
  <si>
    <t>Развитие кадрового потенциала системы дошкольного, общего и дополнительного образования</t>
  </si>
  <si>
    <t xml:space="preserve">Подпрограмма "Развитие системы отдыха, оздоровления, занятости детей, подростков и молодежи Волховского муниципального района" </t>
  </si>
  <si>
    <t>Основное мероприятие "Обеспечение отдыха, оздоровления, занятости детей, подростков и молодежи"</t>
  </si>
  <si>
    <t xml:space="preserve">Организация работы оздоровительных лагерей с дневным (круглосуточным) пребыванием на базе образовательных учреждений </t>
  </si>
  <si>
    <t>10130</t>
  </si>
  <si>
    <t xml:space="preserve">Развитие разнообразных форм отдыха и занятости детей и подростков </t>
  </si>
  <si>
    <t>10140</t>
  </si>
  <si>
    <t xml:space="preserve">Организация занятости подростков и молодежи в каникулярное время </t>
  </si>
  <si>
    <t>10150</t>
  </si>
  <si>
    <t>Организация отдыха и оздоровления детей и подростков</t>
  </si>
  <si>
    <t xml:space="preserve">Подпрограмма "Развитие системы оценки качества образования и информационной прозрачности системы образования Волховского муниципального района" </t>
  </si>
  <si>
    <t>7</t>
  </si>
  <si>
    <t>Основное мероприятие "Проведение мониторинга качества образовательного результата"</t>
  </si>
  <si>
    <t>Проведение мониторинга качества образовательного результата</t>
  </si>
  <si>
    <t>10160</t>
  </si>
  <si>
    <t>07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</si>
  <si>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</si>
  <si>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10170</t>
  </si>
  <si>
    <t>Муниципальная программа Волховского муниципального района "Развитие сельского хозяйства  Волховского муниципального  района"</t>
  </si>
  <si>
    <t>08</t>
  </si>
  <si>
    <t xml:space="preserve">Поддержка стабилизации и развития отраслей растениеводства </t>
  </si>
  <si>
    <t>06010</t>
  </si>
  <si>
    <t>06020</t>
  </si>
  <si>
    <t xml:space="preserve"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
</t>
  </si>
  <si>
    <t>10190</t>
  </si>
  <si>
    <t>Поддержка сельскохозяйственного производства</t>
  </si>
  <si>
    <t>71030</t>
  </si>
  <si>
    <t xml:space="preserve">Подпрограмма "Поддержка малых форм хозяйствования Волховского муниципального района" </t>
  </si>
  <si>
    <t>Поддержка развития крестьянских (фермерских) хозяйств, личных подсобных хозяйств населения</t>
  </si>
  <si>
    <t>06030</t>
  </si>
  <si>
    <t>06040</t>
  </si>
  <si>
    <t>09</t>
  </si>
  <si>
    <t xml:space="preserve">Доплата к пенсиям муниципальных служащих </t>
  </si>
  <si>
    <t>03020</t>
  </si>
  <si>
    <t>Организация выплаты вознаграждения, причитающегося приемным родителям</t>
  </si>
  <si>
    <t>Подготовка граждан, желающих принять на воспитание в свою семью ребенка, оставшегося без попечения родителей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</si>
  <si>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</si>
  <si>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72090</t>
  </si>
  <si>
    <t>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</si>
  <si>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72100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</si>
  <si>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</si>
  <si>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72110</t>
  </si>
  <si>
    <t>На обеспечение мер социальной поддержки учащихся общеобразовательных организаций из многодетных(приемных) семей, в части предоставления бесплатного проезда на внутригородском транспорте</t>
  </si>
  <si>
    <t>72150</t>
  </si>
  <si>
    <t xml:space="preserve"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  </t>
  </si>
  <si>
    <t>06050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</si>
  <si>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</si>
  <si>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</si>
  <si>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</si>
  <si>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71460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</si>
  <si>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</si>
  <si>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71470</t>
  </si>
  <si>
    <t>71480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</si>
  <si>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</si>
  <si>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71490</t>
  </si>
  <si>
    <t>71500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</si>
  <si>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</si>
  <si>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71720</t>
  </si>
  <si>
    <t>Организация и осуществление деятельности по опеке и попечительству</t>
  </si>
  <si>
    <t>71380</t>
  </si>
  <si>
    <t>9</t>
  </si>
  <si>
    <t>S0930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</si>
  <si>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</si>
  <si>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>10</t>
  </si>
  <si>
    <t xml:space="preserve">Поощрение муниципальных учреждений образования Волховского муниципального района по итогам проведения смотров-конкурсов состояния условий и охраны труда </t>
  </si>
  <si>
    <t>10800</t>
  </si>
  <si>
    <t>06070</t>
  </si>
  <si>
    <t>10300</t>
  </si>
  <si>
    <t>Реализация программ, проектов, направленных на развитие международных, внешнеэкономических и межрегиональных связей</t>
  </si>
  <si>
    <t>10320</t>
  </si>
  <si>
    <t>Публикация информационных материалов о туристическом потенциале района</t>
  </si>
  <si>
    <t>10340</t>
  </si>
  <si>
    <t>11</t>
  </si>
  <si>
    <t>10370</t>
  </si>
  <si>
    <t xml:space="preserve">Обеспечение проведения диспансеризации лиц в соответствии с приказом Минздравсоцразвития РФ от 14.12.2009 года № 984н </t>
  </si>
  <si>
    <t>10380</t>
  </si>
  <si>
    <t>12</t>
  </si>
  <si>
    <t xml:space="preserve">Подпрограмма "Обеспечение правопорядка и профилактика правонарушений в Волховском муниципальном районе" </t>
  </si>
  <si>
    <t>Основное мероприятие "Реализация мероприятий по  обеспечению правопорядка и профилактики правонарушений"</t>
  </si>
  <si>
    <t>Сфера профилактики безнадзорности и правонарушений несовершеннолетних</t>
  </si>
  <si>
    <t>71330</t>
  </si>
  <si>
    <t xml:space="preserve">Сфера административных правоотношений </t>
  </si>
  <si>
    <t>71340</t>
  </si>
  <si>
    <t>Основное мероприятие "Проведение мероприятий по мобилизационной подготовке"</t>
  </si>
  <si>
    <t xml:space="preserve">Проведение учебных мероприятий по мобилизационной подготовке </t>
  </si>
  <si>
    <t>10390</t>
  </si>
  <si>
    <t>Защита населения и территорий от чрезвычайной ситуации природного и техногенного характера, гражданская оборона</t>
  </si>
  <si>
    <t xml:space="preserve">Оплата услуг за доставку и отправку документов через структуры специальной связи </t>
  </si>
  <si>
    <t>10420</t>
  </si>
  <si>
    <t>Основное мероприятие "Проведение мероприятий по гражданской обороне"</t>
  </si>
  <si>
    <t>10410</t>
  </si>
  <si>
    <t>Основное мероприятие  "Предупреждение и ликвидация чрезвычайных ситуаций"</t>
  </si>
  <si>
    <t xml:space="preserve">Расходы на вывоз и уничтожение  взрывоопасных предметов времён Великой отечественной войны </t>
  </si>
  <si>
    <t>10400</t>
  </si>
  <si>
    <t>10430</t>
  </si>
  <si>
    <t xml:space="preserve">Обеспечение безопасности людей на водных объектах </t>
  </si>
  <si>
    <t>10440</t>
  </si>
  <si>
    <t>Иные межбюджетные трансферты на подготовку и выполнение  противопаводковых мероприятий</t>
  </si>
  <si>
    <t>60100</t>
  </si>
  <si>
    <t>Основное мероприятие "Обеспечение пожарной безопасности"</t>
  </si>
  <si>
    <t>60110</t>
  </si>
  <si>
    <t>Основное мероприятие "Проведение мероприятий по обеспечению безопасности дорожного движения"</t>
  </si>
  <si>
    <t xml:space="preserve">Организация профильного лагеря по безопасности дорожного движения </t>
  </si>
  <si>
    <t>10470</t>
  </si>
  <si>
    <t>Проектирование, строительство и реконструкция объектов</t>
  </si>
  <si>
    <t>04020</t>
  </si>
  <si>
    <t>Паспортизация дорог общего пользования</t>
  </si>
  <si>
    <t>10850</t>
  </si>
  <si>
    <t>Муниципальная программа Волховского муниципального района "Устойчивое общественное развитие в Волховском муниципальном районе"</t>
  </si>
  <si>
    <t>Обеспечение деятельности информационно-консультационных центров для потребителей</t>
  </si>
  <si>
    <t>Подпрограмма "Общество и власть"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</si>
  <si>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</si>
  <si>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 xml:space="preserve"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 </t>
  </si>
  <si>
    <t>10500</t>
  </si>
  <si>
    <t xml:space="preserve">Проведение пресс-мероприятий для журналистов средств массовой информации (круглых столов, пресс-конференций, семинаров, встреч) </t>
  </si>
  <si>
    <t>10510</t>
  </si>
  <si>
    <t>10530</t>
  </si>
  <si>
    <t xml:space="preserve">Организация выпуска и распространения информационной и имиджевой продукции о Волховском районе </t>
  </si>
  <si>
    <t>10540</t>
  </si>
  <si>
    <t>Основное мероприятие "Поддержка молодых семей и пропаганда семейных ценностей"</t>
  </si>
  <si>
    <t>На реализацию комплекса мер по сохранению исторической памяти</t>
  </si>
  <si>
    <t>S4340</t>
  </si>
  <si>
    <t>Подпрограмма "Профилактика асоциального поведения в молодежной среде Волховского муниципального района"</t>
  </si>
  <si>
    <t>На реализацию комплекса мер по профилактике правонарушений и рискованного поведения в молодежной среде</t>
  </si>
  <si>
    <t>S4350</t>
  </si>
  <si>
    <t xml:space="preserve">Подпрограмма "Поддержка социально ориентированных некоммерческих организаций Волховского муниципального района" </t>
  </si>
  <si>
    <t>06100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</si>
  <si>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</si>
  <si>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72060</t>
  </si>
  <si>
    <t>Обеспечение деятельности органов местного самоуправления Волховского муниципального района</t>
  </si>
  <si>
    <t>67</t>
  </si>
  <si>
    <t>Обеспечение деятельности главы муниципального образования</t>
  </si>
  <si>
    <t>Непрограммные расходы</t>
  </si>
  <si>
    <t>Исполнение функций органов местного самоуправления</t>
  </si>
  <si>
    <t>00150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</si>
  <si>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</si>
  <si>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</si>
  <si>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центрального аппарата</t>
  </si>
  <si>
    <t xml:space="preserve">Осуществление полномочий по исполнению и финансовому контролю за исполнением бюджетов сельских поселений </t>
  </si>
  <si>
    <t>40010</t>
  </si>
  <si>
    <t xml:space="preserve">Осуществление полномочий сельских поселений по вопросам градостроительной деятельности </t>
  </si>
  <si>
    <t>40020</t>
  </si>
  <si>
    <t>Осуществление полномочий городских и сельских поселений в части внешнего муниципального финансового контроля Контрольно-счетным органом Волховского муниципального района</t>
  </si>
  <si>
    <t>40040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</si>
  <si>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</si>
  <si>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59300</t>
  </si>
  <si>
    <t>Область архивного дела</t>
  </si>
  <si>
    <t>71510</t>
  </si>
  <si>
    <t>Сфера обращения с безнадзорными животными на территории Ленинградской области</t>
  </si>
  <si>
    <t>71590</t>
  </si>
  <si>
    <t>Осуществление полномочий по распоряжению земельными участками, государственная собственность на которые не разграничена</t>
  </si>
  <si>
    <t>71730</t>
  </si>
  <si>
    <t xml:space="preserve">На осуществление возложенных полномочий исполнительно-распорядительного органа МО город Волхов </t>
  </si>
  <si>
    <t>80010</t>
  </si>
  <si>
    <t xml:space="preserve">На осуществление возложенных полномочий по формированию, исполнению и финансовому контролю за исполнением бюджета МО город Волхов </t>
  </si>
  <si>
    <t>80020</t>
  </si>
  <si>
    <t xml:space="preserve">На осуществление возложенных полномочий исполнительно-распорядительного органа МО город Волхов в части управления муниципальным имуществом </t>
  </si>
  <si>
    <t>80030</t>
  </si>
  <si>
    <t xml:space="preserve">На осуществление полномочий Совета депутатов МО город Волхов, в соответствии с заключенным соглашением </t>
  </si>
  <si>
    <t>80050</t>
  </si>
  <si>
    <t xml:space="preserve">На осуществление полномочий в части внешнего муниципального финансового контроля МО город Волхов,  в соответствии с заключенным соглашением </t>
  </si>
  <si>
    <t>80070</t>
  </si>
  <si>
    <t>Обеспечение деятельности руководителя контрольно-счетной палаты муниципального образования и его заместителей</t>
  </si>
  <si>
    <t xml:space="preserve">Непрограммные расходы органов местного самоуправления </t>
  </si>
  <si>
    <t>68</t>
  </si>
  <si>
    <t xml:space="preserve">68 </t>
  </si>
  <si>
    <t>Субсидии хозяйствующим субъектам, осуществляющим деятельность в сфере регулярных пассажирских перевозок на территории Волховского муниципального района на обновление транспортных средств</t>
  </si>
  <si>
    <t>06120</t>
  </si>
  <si>
    <t xml:space="preserve">Резервный фонд администрации Волховского муниципального района </t>
  </si>
  <si>
    <t>10660</t>
  </si>
  <si>
    <t>Резервные фонды местных администраций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</si>
  <si>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</si>
  <si>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10670</t>
  </si>
  <si>
    <t xml:space="preserve">Содержание имущества казны </t>
  </si>
  <si>
    <t>10680</t>
  </si>
  <si>
    <t xml:space="preserve">Ежегодный членский взнос в совет муниципальных образований </t>
  </si>
  <si>
    <t>10690</t>
  </si>
  <si>
    <t xml:space="preserve">Прочие общегосударственные расходы  </t>
  </si>
  <si>
    <t>10700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</si>
  <si>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</si>
  <si>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10840</t>
  </si>
  <si>
    <t xml:space="preserve">Награждение Почетным дипломом и Почетной грамотой Совета депутатов Волховского муниципального района </t>
  </si>
  <si>
    <t>10890</t>
  </si>
  <si>
    <t>На приобретение металлодетекторов и мобильных барьеров</t>
  </si>
  <si>
    <t>10910</t>
  </si>
  <si>
    <t>Исполнение судебных актов, вступивших в законную силу</t>
  </si>
  <si>
    <t>10920</t>
  </si>
  <si>
    <t>На проекты планировки территории и проекты межевания территории сельских поселений</t>
  </si>
  <si>
    <t>10930</t>
  </si>
  <si>
    <t>На приобретение знаков отличия "За вклад в развитие Волховского муниципального района" и нагрудных знаков "Почетный гражданин Волховского муниципального района"</t>
  </si>
  <si>
    <t>10950</t>
  </si>
  <si>
    <t>Приобретение бланков "Карта маршрута перевозок"</t>
  </si>
  <si>
    <t>10980</t>
  </si>
  <si>
    <t>10990</t>
  </si>
  <si>
    <t>Проведение мероприятий по землеустройству и землепользованию</t>
  </si>
  <si>
    <t>11000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</si>
  <si>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</si>
  <si>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</si>
  <si>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 xml:space="preserve">На проведение Всероссийской сельскохозяйственной переписи в 2016 году
</t>
  </si>
  <si>
    <t>53910</t>
  </si>
  <si>
    <t>Иные межбюджетные трансферты бюджетам поселений из бюджета Волховского муниципального района на оказание дополнительной финансовой помощи</t>
  </si>
  <si>
    <t>60190</t>
  </si>
  <si>
    <t xml:space="preserve">Иные межбюджетные трансферты бюджетам муниципальных образований Волховского муниципального района Ленинградской области на софинансирование расходных обязательств поселений при осуществлении  ими полномочий в рамках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Ленинградской области, на 2014-2043 годы с учетом мер государственной поддержки </t>
  </si>
  <si>
    <t>60210</t>
  </si>
  <si>
    <t>Другие вопросы в области  жилищно-коммунального хозяйства</t>
  </si>
  <si>
    <t>На подготовку и проведение мероприятий, посвященных Дню образования Ленинградской области</t>
  </si>
  <si>
    <t>72030</t>
  </si>
  <si>
    <t xml:space="preserve">На осуществление возложенных полномочий по хозяйственному обеспечению  исполнительно-распорядительного органа МО город Волхов  </t>
  </si>
  <si>
    <t>80040</t>
  </si>
  <si>
    <t xml:space="preserve">На осуществление возложенных полномочий в части управленческих функций в сфере архитектуры и строительства объектов МО город Волхов  </t>
  </si>
  <si>
    <t>80060</t>
  </si>
  <si>
    <t xml:space="preserve"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района" </t>
  </si>
  <si>
    <t>На осуществление полномочий в части внешнего муниципального финансового контроля МО город Волхов,  в соответствии с заключенным соглашением</t>
  </si>
  <si>
    <t xml:space="preserve">На осуществление возложенных полномочий по хозяйственному обеспечению  исполнительно-распорядительного органа МО город Волхов </t>
  </si>
  <si>
    <t xml:space="preserve">На осуществление возложенных полномочий в части управленческих функций в сфере архитектуры и строительства объектов МО город Волхов </t>
  </si>
  <si>
    <t xml:space="preserve">Поддержка развития садоводческих, огороднических и дачных некоммерческих объединений </t>
  </si>
  <si>
    <t>Образование</t>
  </si>
  <si>
    <t>Подпрограмма "Развитие дошкольного образования детей Волховского муниципального района"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</si>
  <si>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</si>
  <si>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Подпрограмма "Развитие дополнительного образования в Волховском муниципальном районе"</t>
  </si>
  <si>
    <t>Подпрограмма "Развитие кадрового потенциала социальной сферы Волховского муниципального района"</t>
  </si>
  <si>
    <t xml:space="preserve">Подпрограмма "Обеспечение доступа жителей Волховского муниципального  района к культурным ценностям" </t>
  </si>
  <si>
    <t>71450</t>
  </si>
  <si>
    <t xml:space="preserve"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</si>
  <si>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71430</t>
  </si>
  <si>
    <t>Подпрограмма "Поддержка социально ориентированных некоммерческих организаций Волховского муниципального района"</t>
  </si>
  <si>
    <t xml:space="preserve"> Расходы на  приобретение спортивного инвентаря и оборудования для  учреждений </t>
  </si>
  <si>
    <t xml:space="preserve"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</t>
  </si>
  <si>
    <t>Гл.адм.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</si>
  <si>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</si>
  <si>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Обеспечение деятельности аппаратов органов местного самоуправления</t>
  </si>
  <si>
    <t xml:space="preserve">Прочие общегосударственные расходы   </t>
  </si>
  <si>
    <t xml:space="preserve">Жилищно-коммунальное хозяйство </t>
  </si>
  <si>
    <t>Предоставление муниципальным бюджетным учреждениям субсидий на выполнение муниципального задания</t>
  </si>
  <si>
    <t>На поддержку деятельности молодежных общественных организаций, объединений, инициатив и развитие добровольческого(волонтерского) движения, содействию трудовой адаптации и занятости молодежи</t>
  </si>
  <si>
    <t xml:space="preserve">Обеспечение подготовки и участие 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</t>
  </si>
  <si>
    <t>На осуществление возложенных полномочий по формированию, исполнению и финансовому контролю за исполнением бюджета МО город Волхов</t>
  </si>
  <si>
    <t>Жилищно-коммунальное хозяйство</t>
  </si>
  <si>
    <t>Межбюджетные трансферты бюджетам субъектов Российской Федерации и муниципальных образований общего характера</t>
  </si>
  <si>
    <t xml:space="preserve">Содержание имущества казны  </t>
  </si>
  <si>
    <t>На осуществление полномочий Совета депутатов МО город Волхов, в соответствии с заключенным соглашением</t>
  </si>
  <si>
    <t xml:space="preserve">Подпрограмма "Общество и власть" </t>
  </si>
  <si>
    <t>Муниципальное казенное учреждение "Центр образования Волховского района" администрации Волховского муниципального района Ленинградской области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</si>
  <si>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</si>
  <si>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>Развитие разнообразных форм отдыха и занятости детей и подростков</t>
  </si>
  <si>
    <t>Организация занятости подростков и молодежи в каникулярное время</t>
  </si>
  <si>
    <t>На организацию отдыха и оздоровления детей и подростков</t>
  </si>
  <si>
    <t xml:space="preserve">Подпрограмма "Развитие спорта высших достижений и системы подготовки спортивного резерва в Волховском муниципальном районе" </t>
  </si>
  <si>
    <t>11010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</si>
  <si>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</si>
  <si>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S4290</t>
  </si>
  <si>
    <t>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</si>
  <si>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подготовку проекта внесения изменений в генеральный план сельских поселений</t>
  </si>
  <si>
    <t>10940</t>
  </si>
  <si>
    <t>60240</t>
  </si>
  <si>
    <t>60250</t>
  </si>
  <si>
    <t xml:space="preserve">Иные межбюджетные трансферты на поддержку деятельности молодежных организаций и объединений, молодежных инициатив и развитие волонтерского движения </t>
  </si>
  <si>
    <t>60260</t>
  </si>
  <si>
    <t>60270</t>
  </si>
  <si>
    <t>60280</t>
  </si>
  <si>
    <t>Иные межбюджетные трансферты на мероприятия по профилактике асоциального поведения в молодежной среде</t>
  </si>
  <si>
    <t>60290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</si>
  <si>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</si>
  <si>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Мониторинг деятельности субъектов малого и среднего предпринимательства Ленинградской области</t>
  </si>
  <si>
    <t>11020</t>
  </si>
  <si>
    <t>11030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</si>
  <si>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</si>
  <si>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На оплату вознаграждения агенту за изготовление платежных извещений</t>
  </si>
  <si>
    <t>S4490</t>
  </si>
  <si>
    <t>S4260</t>
  </si>
  <si>
    <t>На мероприятия по формированию доступной среды жизнедеятельности для инвалидов в Ленинградской области</t>
  </si>
  <si>
    <t>11040</t>
  </si>
  <si>
    <t>Подготовка и внесение информации о границах населенных пунктов в сведения государственного кадастра недвижимости</t>
  </si>
  <si>
    <t>S0160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</si>
  <si>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</si>
  <si>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60300</t>
  </si>
  <si>
    <t>ИСТОЧНИК ДОХОДОВ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</si>
  <si>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</si>
  <si>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</si>
  <si>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</si>
  <si>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</si>
  <si>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</si>
  <si>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</si>
  <si>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</si>
  <si>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</si>
  <si>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</si>
  <si>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</si>
  <si>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</si>
  <si>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</si>
  <si>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</si>
  <si>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</si>
  <si>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</si>
  <si>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</si>
  <si>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</si>
  <si>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</si>
  <si>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</si>
  <si>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</si>
  <si>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 1 08 00000 00 0000 000</t>
  </si>
  <si>
    <t>ГОСУДАРСТВЕННАЯ ПОШЛИНА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</si>
  <si>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</si>
  <si>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</si>
  <si>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</si>
  <si>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</si>
  <si>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</si>
  <si>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</si>
  <si>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</si>
  <si>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</si>
  <si>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</si>
  <si>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</si>
  <si>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</si>
  <si>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</si>
  <si>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</si>
  <si>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>ДОХОДЫ ОТ ПРОДАЖИ МАТЕРИАЛЬНЫХ И НЕМАТЕРИАЛЬНЫХ АКТИВОВ</t>
  </si>
  <si>
    <t>114 02050 05 0000 410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</si>
  <si>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</si>
  <si>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</si>
  <si>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</si>
  <si>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</si>
  <si>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</si>
  <si>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</si>
  <si>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</si>
  <si>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</si>
  <si>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</si>
  <si>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</si>
  <si>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</si>
  <si>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</si>
  <si>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</si>
  <si>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1 17 05050 05 0000 180</t>
  </si>
  <si>
    <t>2 00 00 000 00 0000 000</t>
  </si>
  <si>
    <t>БЕЗВОЗМЕЗДНЫЕ ПОСТУПЛЕНИЯ</t>
  </si>
  <si>
    <t xml:space="preserve">ВСЕГО ДОХОДОВ </t>
  </si>
  <si>
    <t>код бюджетной классификации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</si>
  <si>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</si>
  <si>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</si>
  <si>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</si>
  <si>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</si>
  <si>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организацию отдыха и оздоровления детей и подростков</t>
  </si>
  <si>
    <t>на 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</si>
  <si>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на организацию разнообразных форм предоставления дошкольного и предшкольного образования</t>
  </si>
  <si>
    <t>на обеспечение деятельности информационно-консультационных центров для потребителей</t>
  </si>
  <si>
    <t>на укрепление материально-технической базы организаций дошкольного образования</t>
  </si>
  <si>
    <t>на укрепление материально-технической базы организаций дополнительного образования</t>
  </si>
  <si>
    <t xml:space="preserve">на укрепление материально-технической базы организаций общего образования </t>
  </si>
  <si>
    <t>на развитие кадрового потенциала системы дошкольного, общего и дополнительного образования</t>
  </si>
  <si>
    <t>на реализацию комплекса мер по сохранению исторической памяти</t>
  </si>
  <si>
    <t>на реализацию комплекса мер по профилактике правонарушений и рискованного поведения в молодежной среде</t>
  </si>
  <si>
    <t>на поддержку деятельности молодежных общественных организаций, объединений, инициатив и развитию добровольческого (волонтерского)движения, содействию трудовой адаптации и занятости молодежи</t>
  </si>
  <si>
    <t>на развитие и поддержку информационных технологий, обеспечивающих бюджетный процесс</t>
  </si>
  <si>
    <t>на реновацию организаций общего образования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</si>
  <si>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</si>
  <si>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на обеспечение выплат стимулирующего характера работникам муниципальных учреждений культуры Ленинградской области</t>
  </si>
  <si>
    <t>на государственную поддержку малого и среднего предпринимательства, включая крестьянские (фермерские) хозяйства</t>
  </si>
  <si>
    <t>на мероприятия по поддержке субъектов малого и среднего предпринимательства, осуществляющих деятельность в сфере народных художественных промыслов и (или) ремесел</t>
  </si>
  <si>
    <t xml:space="preserve">на строительство и капитальный ремонт плоскостных спортивных сооружений и стадионов </t>
  </si>
  <si>
    <t>на разработку и актуализацию документов стратегического планирования муниципальных образований Ленинградской области</t>
  </si>
  <si>
    <t>мониторинг деятельности субъектов малого и среднего предпринимательства Ленинградской области</t>
  </si>
  <si>
    <t>на мероприятия по формированию доступной среды жизнедеятельности для инвалидов в Ленинградской области</t>
  </si>
  <si>
    <t>СУБВЕНЦИИ бюджетам субъектов Российской Федерации и муниципальных образований</t>
  </si>
  <si>
    <t>на выполнение передаваемых полномочий субъектов Российской Федерации, в том числе</t>
  </si>
  <si>
    <t>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</si>
  <si>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</si>
  <si>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</si>
  <si>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 xml:space="preserve">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</si>
  <si>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>по поддержке сельскохозяйственного производства</t>
  </si>
  <si>
    <t>в сфере профилактики безнадзорности и правонарушений несовершеннолетних</t>
  </si>
  <si>
    <t>в сфере административных правоотношений</t>
  </si>
  <si>
    <t>в сфере жилищных отношений</t>
  </si>
  <si>
    <t>в сфере обращения с безнадзорными животными на территории Ленинградской области</t>
  </si>
  <si>
    <t>по расчету и предоставлению дотаций на выравнивание бюджетной обеспеченности поселений за счет средств областного бюджета</t>
  </si>
  <si>
    <t>в области архивного дела</t>
  </si>
  <si>
    <t xml:space="preserve"> - по организации выплаты вознаграждения, причитающегося приемным родителям</t>
  </si>
  <si>
    <t xml:space="preserve"> -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</si>
  <si>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</si>
  <si>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 ИНЫЕ МЕЖБЮДЖЕТНЫЕ ТРАНСФЕРТЫ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</si>
  <si>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образований, в том числе:</t>
  </si>
  <si>
    <t xml:space="preserve"> -комплектование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</si>
  <si>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-комплектование книжных фондов библиотек муниципальных образований</t>
  </si>
  <si>
    <t>-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</si>
  <si>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</si>
  <si>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-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</si>
  <si>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- на осуществление возложенных полномочий МО город Волхов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</si>
  <si>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</si>
  <si>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- на обеспечение бесплатного проезда в автомобильном транспорте общего пользования городского и пригородного сообщения (кроме такси) отдельных категорий инвалидов, проживающих в Ленинградской области</t>
  </si>
  <si>
    <t>- на обеспечение бесплатного проезда на внутригородском транспорте (кроме такси), а также в автобусах пригородных и внутрирайонных линий для учащихся общеобразовательных организаций из многодетных (приемных) семей, проживающих в Ленинградской области</t>
  </si>
  <si>
    <t>2 04 00000 00 0000 180</t>
  </si>
  <si>
    <t xml:space="preserve">БЕЗВОЗМЕЗДНЫЕ ПОСТУПЛЕНИЯ ОТ НЕГОСУДАРСТВЕННЫХ ОРГАНИЗАЦИЙ
</t>
  </si>
  <si>
    <t xml:space="preserve">2 04 05010 05 0000 180
</t>
  </si>
  <si>
    <t xml:space="preserve">Предоставление негосударственными организациями грантов для получателей средств бюджетов муниципальных районов
</t>
  </si>
  <si>
    <t>73</t>
  </si>
  <si>
    <t>80380</t>
  </si>
  <si>
    <t>80381</t>
  </si>
  <si>
    <t>80500</t>
  </si>
  <si>
    <t>S0140</t>
  </si>
  <si>
    <t>77</t>
  </si>
  <si>
    <t>80400</t>
  </si>
  <si>
    <t>80401</t>
  </si>
  <si>
    <t>80390</t>
  </si>
  <si>
    <t>На осуществление возложенных полномочий исполнительно-распорядительного органа МО город Волхов в части создания объектов инженерной и транспортной инфраструктуры, разработки проекта планировки и проекта межевания территории на земельных участках, предоставленных многодетным семьям в соответствии с областным законом от 14 октября 2008 года №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</t>
  </si>
  <si>
    <t>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</t>
  </si>
  <si>
    <t>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 (исполнение судебных актов)</t>
  </si>
  <si>
    <t>Капитальный ремонт и ремонт автомобильных дорог общего пользования местного значения</t>
  </si>
  <si>
    <t>Муниципальная программа МО город Волхов "Развитие автомобильных дорог в МО город Волхов"</t>
  </si>
  <si>
    <t>Подпрограмма "Поддержание существующей сети автомобильных дорог общего пользования МО город Волхов"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</si>
  <si>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</si>
  <si>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На осуществление возложенных полномочий исполнительно-распорядительного органа МО город Волхов в части проведения экспертизы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</si>
  <si>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Муниципальная программа МО город Волхов "Безопасность МО город Волхов"</t>
  </si>
  <si>
    <t xml:space="preserve">Подпрограмма "Повышение безопасности дорожного движения в МО город Волхов" </t>
  </si>
  <si>
    <t>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 (исполнение судебных актов)</t>
  </si>
  <si>
    <t>72031</t>
  </si>
  <si>
    <t>Подготовка и проведение мероприятий, посвященных Дню образования Ленинградской области (исполнение судебных актов)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</si>
  <si>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</si>
  <si>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 xml:space="preserve">Подпрограмма "Газификация МО город Волхов" </t>
  </si>
  <si>
    <t>Основное мероприятие "Строительство распределительных газопроводов для газоснабжения микрорайонов индивидуальной жилой застройки МО город Волхов"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</si>
  <si>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</si>
  <si>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70200</t>
  </si>
  <si>
    <t>На осуществление возложенных полномочий исполнительно-распорядительного органа МО город Волхов на бюджетные инвестиции в объекты капитального строительства объектов коммунального хозяйства (в том числе проектно-изыскательские работы) собственности муниципальных образований</t>
  </si>
  <si>
    <t>80490</t>
  </si>
  <si>
    <t>S0200</t>
  </si>
  <si>
    <t xml:space="preserve">На осуществление возложенных полномочий исполнительно-распорядительного органа МО город Волхов в части проведения прочих мероприятий в области коммунального хозяйства </t>
  </si>
  <si>
    <t>80220</t>
  </si>
  <si>
    <t xml:space="preserve">На осуществление возложенных полномочий исполнительно-распорядительного органа МО город Волхов в части проведения прочих мероприятий по благоустройству </t>
  </si>
  <si>
    <t>80270</t>
  </si>
  <si>
    <t>71</t>
  </si>
  <si>
    <t>Иные межбюджетные трансферты бюджетам муниципальных образований  Волховского муниципального района на поддержку мер по обеспечению сбалансированности бюджетов</t>
  </si>
  <si>
    <t>60310</t>
  </si>
  <si>
    <t>Иные межбюджетные трансферты на реализацию мероприятий по созданию туристско-рекреационного кластера "Старая Ладога"</t>
  </si>
  <si>
    <t>Поддержка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</si>
  <si>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>11050</t>
  </si>
  <si>
    <t>Разработка проектной документации</t>
  </si>
  <si>
    <t xml:space="preserve"> 1 11 07000 00 0000 120</t>
  </si>
  <si>
    <t>Платежи от государственных и муниципальных унитарных предприятий</t>
  </si>
  <si>
    <t>L555F</t>
  </si>
  <si>
    <t>11060</t>
  </si>
  <si>
    <t>Подготовка проектов планировки и проектов межевания территории</t>
  </si>
  <si>
    <t>Субсидия бюджетам муниципальных районов на поддержку отрасли культуры</t>
  </si>
  <si>
    <t>06130</t>
  </si>
  <si>
    <t>Взнос в уставный капитал общества с ограниченной ответственностью «Волховские коммунальные системы»</t>
  </si>
  <si>
    <t>НАИМЕНОВАНИЕ</t>
  </si>
  <si>
    <t>000 01 02 00 00 00 0000 000</t>
  </si>
  <si>
    <t>Кредиты кредитных организаций в валюте Российской Федерации</t>
  </si>
  <si>
    <t>000 01 02 00 00 05 0000 710</t>
  </si>
  <si>
    <t>Кредиты кредитных организаций бюджетам муниципальных районов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</si>
  <si>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</si>
  <si>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</si>
  <si>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</si>
  <si>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</si>
  <si>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</si>
  <si>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</si>
  <si>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</si>
  <si>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</si>
  <si>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</si>
  <si>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</si>
  <si>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</si>
  <si>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</si>
  <si>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</si>
  <si>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</si>
  <si>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</si>
  <si>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</si>
  <si>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</si>
  <si>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</si>
  <si>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</si>
  <si>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</si>
  <si>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</si>
  <si>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 xml:space="preserve">Сумма (тысяч рублей) </t>
  </si>
  <si>
    <t>2019 год</t>
  </si>
  <si>
    <t>2020 год</t>
  </si>
  <si>
    <t xml:space="preserve">Сумма
(тысяч рублей) </t>
  </si>
  <si>
    <t>Код бюджетной классификации</t>
  </si>
  <si>
    <t>Источники внутреннего финансирования дефицита  районного бюджета Волховского муниципального района Ленинградской области на 2018 год и плановый период 2019 и 2020 годов</t>
  </si>
  <si>
    <t>Код</t>
  </si>
  <si>
    <t xml:space="preserve"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 </t>
  </si>
  <si>
    <t>по организации и осуществлению деятельности по опеке и попечительству</t>
  </si>
  <si>
    <t>по подготовку граждан, выразивших желание стать опекунами или попечителями несовершеннолетних граждан</t>
  </si>
  <si>
    <t>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</si>
  <si>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</t>
  </si>
  <si>
    <t>по предоставлению земельных участков, государственная собственность на которые не разграничена, расположенных на территории  городских поселений соответствующего муниципального района, при наличии утвержденных правил землепользования и застройки, за исключением случаев, предусмотренных законодательством РФ об автомобильных дорогах и дорожной деятельности</t>
  </si>
  <si>
    <t>по предоставлению гражданам ЕДВ на проведение капитального ремонта индивидуальных жилых домов в соответствии с областным законом ЛО от 13.10.2014г. №62-оз "О предоставлении отдельным категориям граждан единовременной денежной выплаты на проведение капитального ремонта индивидуальных жилых домов"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</si>
  <si>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</si>
  <si>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</si>
  <si>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</si>
  <si>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</si>
  <si>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</si>
  <si>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</si>
  <si>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300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</si>
  <si>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</si>
  <si>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</si>
  <si>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</si>
  <si>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Межбюджетные трансферты</t>
  </si>
  <si>
    <t>500</t>
  </si>
  <si>
    <t xml:space="preserve">Межбюджетные трансферты </t>
  </si>
  <si>
    <t>400</t>
  </si>
  <si>
    <t xml:space="preserve">Капитальные вложения в объекты государственной (муниципальной) собственности
</t>
  </si>
  <si>
    <t>Обслуживание государственного (муниципального) долга</t>
  </si>
  <si>
    <t>Капитальные вложения в объекты государственной (муниципальной) собственности</t>
  </si>
  <si>
    <t xml:space="preserve">Подпрограмма "Обеспечение  реализации   муниципальной   программы Волховского муниципального района  "Развитие   сельского   хозяйства Волховского муниципального района"  </t>
  </si>
  <si>
    <t>L0970</t>
  </si>
  <si>
    <t>11070</t>
  </si>
  <si>
    <t>Информатизация и модернизация отрасли "Культура"</t>
  </si>
  <si>
    <t>11080</t>
  </si>
  <si>
    <t>Укрепление материально-технической базы учреждений культуры</t>
  </si>
  <si>
    <t>Субсидии на оказание финансовой помощи советам ветеранов, организациям инвалидов</t>
  </si>
  <si>
    <t>11090</t>
  </si>
  <si>
    <t>Поддержка отрасли культуры</t>
  </si>
  <si>
    <t>L5190</t>
  </si>
  <si>
    <t>Подпрограмма "Реализация гарантий для детей-сирот и детей, оставшихся без попечения родителей"</t>
  </si>
  <si>
    <t>Основное мероприятие "Реализация гарантий для детей-сирот и детей, оставшихся без попечения родителей"</t>
  </si>
  <si>
    <t>11100</t>
  </si>
  <si>
    <t>На организацию отдыха детей, находящихся в трудной жизненной ситуации, в каникулярное время</t>
  </si>
  <si>
    <t>00161</t>
  </si>
  <si>
    <t>Обеспечение деятельности муниципальных казенных учреждений (услуги учреждениям социальной сферы)</t>
  </si>
  <si>
    <t>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</t>
  </si>
  <si>
    <t>на организацию отдыха детей, находящихся в трудной жизненной ситуации, в каникулярное время</t>
  </si>
  <si>
    <t xml:space="preserve">                           (приложение 3)</t>
  </si>
  <si>
    <t>80130</t>
  </si>
  <si>
    <t>На осуществление возложенных полномочий исполнительно-распорядительного органа МО город Волхов в части содержания имущества казны</t>
  </si>
  <si>
    <t>Муниципальная программа МО город Волхов "Развитие культуры в МО город Волхов"</t>
  </si>
  <si>
    <t>Подпрограмма "Обеспечение доступа жителей МО город Волхов к культурным ценностям"</t>
  </si>
  <si>
    <t xml:space="preserve">На осуществление возложенных полномочий исполнительно-распорядительного органа МО город Волхов в части хозяйственного обеспечения деятельности муниципальных учреждений социальной сферы </t>
  </si>
  <si>
    <t xml:space="preserve">Подпрограмма "Обеспечение реализации муниципальной программы МО город Волхов "Развитие культуры в МО город Волхов" </t>
  </si>
  <si>
    <t>Основное мероприятие "Развитие и модернизация объектов культуры МО г. Волхов"</t>
  </si>
  <si>
    <t>80080</t>
  </si>
  <si>
    <t>74</t>
  </si>
  <si>
    <t xml:space="preserve">Подпрограмма "Обеспечение правопорядка и профилактика правонарушений в МО город Волхов" </t>
  </si>
  <si>
    <t>Основное мероприятие "Реализация мероприятий по обеспечению правопорядка и профилактики правонарушений"</t>
  </si>
  <si>
    <t>На осуществление возложенных полномочий исполнительно-распорядительного органа МО город Волхов в части эксплуатации и развития в МО город Волхов аппаратно-программного комплекса автоматизированной системы "Безопасный город"</t>
  </si>
  <si>
    <t>80100</t>
  </si>
  <si>
    <t>На осуществление возложенных полномочий исполнительно-распорядительного органа МО город Волхов в части проведения прочих  мероприятий по обеспечению безопасности дорожного движения</t>
  </si>
  <si>
    <t>Подпрограмма "Реализация  гарантий для детей-сирот и детей, оставшихся без попечения родителей"</t>
  </si>
  <si>
    <t>Основное мероприятие "Реализация  гарантий для детей-сирот и детей, оставшихся без попечения родителей"</t>
  </si>
  <si>
    <t>2018 год утверждено</t>
  </si>
  <si>
    <t>Изменения</t>
  </si>
  <si>
    <t xml:space="preserve">от                           2018 года № </t>
  </si>
  <si>
    <t xml:space="preserve">Изменения </t>
  </si>
  <si>
    <t xml:space="preserve">                           (приложение 2)</t>
  </si>
  <si>
    <t>№ п/п</t>
  </si>
  <si>
    <t>(приложение 5)</t>
  </si>
  <si>
    <t>Наименование КЦСР</t>
  </si>
  <si>
    <t>67 3 01 80010</t>
  </si>
  <si>
    <t>На осуществление возложенных полномочий исполнительно-распорядительного органа МО город Волхов в рамках обеспечения деятельности центрального аппарата</t>
  </si>
  <si>
    <t>67 3 01 80020</t>
  </si>
  <si>
    <t>На осуществление возложенных полномочий по формированию, исполнению и финансовому контролю за исполнением бюджета МО город Волхов в рамках обеспечения деятельности центрального аппарата</t>
  </si>
  <si>
    <t>67 3 01 80030</t>
  </si>
  <si>
    <t>На осуществление возложенных полномочий исполнительно-распорядительного органа МО город Волхов в части управления муниципальным имуществом в рамках обеспечения деятельности центрального аппарата</t>
  </si>
  <si>
    <t>68 9 01 80040</t>
  </si>
  <si>
    <t>На осуществление возложенных полномочий по хозяйственному обеспечению  исполнительно-распорядительного органа МО город Волхов  в рамках непрограммных расходов органов местного самоуправления</t>
  </si>
  <si>
    <t>68 9 01 80060</t>
  </si>
  <si>
    <t>На осуществление возложенных полномочий в части управленческих функций в сфере архитектуры и строительства объектов МО город Волхов  в рамках непрограммных расходов органов местного самоуправления</t>
  </si>
  <si>
    <t>68 9 01 80130</t>
  </si>
  <si>
    <t>68 9 01 80270</t>
  </si>
  <si>
    <t>71 2 01 S0200</t>
  </si>
  <si>
    <t>71 2 01 80490</t>
  </si>
  <si>
    <t>73 1 01 S0140</t>
  </si>
  <si>
    <t>73 1 01 80380</t>
  </si>
  <si>
    <t>73 1 01 80381</t>
  </si>
  <si>
    <t>73 1 01 80500</t>
  </si>
  <si>
    <t>74 2 01 80080</t>
  </si>
  <si>
    <t>74 4 01 80080</t>
  </si>
  <si>
    <t>77 1 01 80100</t>
  </si>
  <si>
    <t>77 3 01 80400</t>
  </si>
  <si>
    <t>ВСЕГО МЕЖБЮДЖЕТНЫХ ТРАНСФЕРТОВ</t>
  </si>
  <si>
    <t>(приложение 12)</t>
  </si>
  <si>
    <t>(тыс.руб.)</t>
  </si>
  <si>
    <t>S4330</t>
  </si>
  <si>
    <t xml:space="preserve">Иные межбюджетные трансферты на организацию и проведение социально-культурных мероприятий </t>
  </si>
  <si>
    <t>60320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</si>
  <si>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</si>
  <si>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51760</t>
  </si>
  <si>
    <t>На поощрение победителей и лауреатов областных конкурсов в области образования</t>
  </si>
  <si>
    <t>72080</t>
  </si>
  <si>
    <t>77 3 01 80401</t>
  </si>
  <si>
    <t>68 9 01 80150</t>
  </si>
  <si>
    <t>На осуществление возложенных полномочий исполнительно-распорядительного органа МО город Волхов в части исполнение судебных актов, вступивших в законную силу, по искам к МО город Волхов</t>
  </si>
  <si>
    <t>68 9 01 80390</t>
  </si>
  <si>
    <t>S5190</t>
  </si>
  <si>
    <t>80150</t>
  </si>
  <si>
    <t>70820</t>
  </si>
  <si>
    <t>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</si>
  <si>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73 1 01 S4200</t>
  </si>
  <si>
    <t>S4200</t>
  </si>
  <si>
    <t>(приложение 9)</t>
  </si>
  <si>
    <t>(приложение 8)</t>
  </si>
  <si>
    <t>2018 год</t>
  </si>
  <si>
    <t xml:space="preserve">                           (приложение 1)</t>
  </si>
  <si>
    <t>Сумма (тыс.рублей)</t>
  </si>
  <si>
    <t>60660</t>
  </si>
  <si>
    <t>Иные межбюджетные трансферты за счёт резервного фонда администрации Волховского муниципального района в рамках непрограммных расходов органов местного самоуправления</t>
  </si>
  <si>
    <t>Размер дефицита от утвержденного общего годового объема доходов бюджета без учета утвержденного объема безвозмездных поступлений и поступлений налоговых доходов по дополнительным нормативам отчислений, %</t>
  </si>
  <si>
    <t>Обновление транспортных средств для осуществления пассажирских перевозок на территории Волховского муниципального района</t>
  </si>
  <si>
    <t xml:space="preserve"> за счет резервных фондов Правительства ЛО</t>
  </si>
  <si>
    <t>L0270</t>
  </si>
  <si>
    <t>Мероприятия государственной программы Российской Федерации "Доступная среда" на 2011-2020 годы</t>
  </si>
  <si>
    <t>S0860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</si>
  <si>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</si>
  <si>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68 9 01 80500</t>
  </si>
  <si>
    <t>60330</t>
  </si>
  <si>
    <t>S0360</t>
  </si>
  <si>
    <t>Иные межбюджетные трансферты на подготовку и проведение мероприятий, посвященных Дню образования Волховского района</t>
  </si>
  <si>
    <t>Источники внутреннего финансирования дефицита  районного бюджета Волховского муниципального района Ленинградской области на 2019 год и плановый период 2020 и 2021 годов</t>
  </si>
  <si>
    <t>Прогнозируемые поступления доходов районного бюджета Волховского муниципального района Ленинградской области на 2019 год и плановый период 2020 и 2021 годов</t>
  </si>
  <si>
    <t>2019 год утверждено</t>
  </si>
  <si>
    <t>2021 год</t>
  </si>
  <si>
    <t xml:space="preserve">2019 год </t>
  </si>
  <si>
    <t>Безвозмездные поступления районного  бюджета Волховского  муниципального  района  Ленинградской  области на 2019 год и плановый период 2020 и 2021 годов</t>
  </si>
  <si>
    <t xml:space="preserve">2019 год утверждено </t>
  </si>
  <si>
    <t>Распределение бюджетных ассигнований по разделам, подразделам классификации расходов бюджетов 
на 2019 год и плановый период 2020 и 2021 годов</t>
  </si>
  <si>
    <t>Распределение бюджетных ассигнований по целевым статьям (муниципальным программам Волховского муниципального района и непрограммным направлениям деятельности), группам  видов расходов классификации расходов бюджетов, по разделам и подразделам классификации расходов бюджетов на 2019 год и плановый период 2020 и 2021 годов</t>
  </si>
  <si>
    <t xml:space="preserve"> Ведомственная структура расходов районного бюджета Волховского муниципального района 
на 2019 год и плановый период 2020 и 2021 годов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</si>
  <si>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</t>
  </si>
  <si>
    <t xml:space="preserve">Подпрограмма "Энергетика Волховского муниципального района" </t>
  </si>
  <si>
    <t>Основное мероприятие "Развитие и восстановление объектов теплоснабжения муниципальных образований Волховского муниципального района"</t>
  </si>
  <si>
    <t xml:space="preserve">Подпрограмма "Газификация на территории Волховского муниципального района" </t>
  </si>
  <si>
    <t>Основное мероприятие "Развитие газораспределительной сети и строительство газораспределительной сети на территроии Волховского муниципального района"</t>
  </si>
  <si>
    <t>Основное мероприятие "Реализация жилищных программ"</t>
  </si>
  <si>
    <t>Основное мероприятие "Совершенствование материально-технической базы учреждений культуры и сохранение объектов культурного наследия"</t>
  </si>
  <si>
    <t>Основное мероприятие "Сохранение и развитие народной культуры и самодеятельного творчества"</t>
  </si>
  <si>
    <t xml:space="preserve">Основное мероприятие "Создание благоприятных условий для развития новых видов спорта" </t>
  </si>
  <si>
    <t>Основные мероприятия "Популяризация физической культуры и спорта "</t>
  </si>
  <si>
    <t xml:space="preserve">Основное мероприятие "Развитие адаптивной физической культуры и спорта"  </t>
  </si>
  <si>
    <t xml:space="preserve">Проведение  и участие в физкультурных мероприятий и спортивных соревнований, спартакиадах для лиц с ограниченными возможностями и инвалидов по различным  видам спорта  </t>
  </si>
  <si>
    <t>Основное мероприятие "Модернизация инфраструктуры и материально-технической базы муниципальной системы физической культуры и спорта, строительство новых спортивных объектов"</t>
  </si>
  <si>
    <t>Муниципальная программа Волховского муниципального района "Молодежь Волховского муниципального района"</t>
  </si>
  <si>
    <t>Основное мероприятие "Создание условий для реализации творческих способностей молодежи"</t>
  </si>
  <si>
    <t>Подпрограмма "Поддержка деятельности молодежи Волховского муниципального района"</t>
  </si>
  <si>
    <t>Основное мероприятие "Содействие молодежи в трудоустройстве и адаптации к рынку труда"</t>
  </si>
  <si>
    <t>Основное мероприятие «Сохранение исторической памяти, гражданско-патриотическое и духовно-нравственное воспитание молодежи»</t>
  </si>
  <si>
    <t>Основное мероприятие "Профилактика социально-негативных явлений среди молодежи, предупреждение девиантного поведения"</t>
  </si>
  <si>
    <t>Основное мероприятие "Реализация мероприятий в сфере энергосбережения и повышения энергетической эффективности с целью экономии энергетических ресурсов"</t>
  </si>
  <si>
    <t xml:space="preserve">Реализация мероприятий по содействию привлечения в учреждения образования района молодых специалистов </t>
  </si>
  <si>
    <t xml:space="preserve">Подпрограмма "Развитие отраслей агропромышленного и рыбохозяйственного комплекса Волховского муниципального района"  </t>
  </si>
  <si>
    <t xml:space="preserve">Основное мероприятие "Повышение уровня ресурсного потенциала развития агропромышленного и рыбохозяйственного комплекса"
</t>
  </si>
  <si>
    <t xml:space="preserve">Предоставление субсидии на развитие животноводства </t>
  </si>
  <si>
    <t xml:space="preserve">Основное мероприятие "Развитие малых форм хозяйствования и сельскохозяйственной кооперации"
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</si>
  <si>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 </t>
  </si>
  <si>
    <t>Создание запасов материальных ресурсов</t>
  </si>
  <si>
    <t xml:space="preserve">Подпрограмма "Повышение эффективности управления и снижение административных барьеров в Волховском муниципальном районе" </t>
  </si>
  <si>
    <t>Основное мероприятие "Внедрение перспективных методов кадровой работы"</t>
  </si>
  <si>
    <t>Реализация  образовательных мероприятий направленных на повышение квалификации муниципальных служащих</t>
  </si>
  <si>
    <t>Участие в мероприятиях по обмену опытом (стажировка должностных лиц в передовых муниципальных образованиях регионов РФ, организация зарубежных стажировок)</t>
  </si>
  <si>
    <t>Реализация мероприятий по совершенствованию системы мотивации персонала</t>
  </si>
  <si>
    <t>Организация и проведение мероприятий по улучшению условий и охраны труда и снижению уровней профессиональных рисков</t>
  </si>
  <si>
    <t>Муниципальная программа Волховского муниципального района "Устойчивое общественное развитие Волховского муниципального района"</t>
  </si>
  <si>
    <t>Основное мероприятие "Оказание бесплатной юридической помощи по вопросам защиты прав потребителей"</t>
  </si>
  <si>
    <t>Подпрограмма "Развитие международных  связей и  гармонизация межнациональных и межконфессиональных отношений в Волховском муниципальном районе" </t>
  </si>
  <si>
    <t>Основное мероприятие "Развитие культурных и побратимских связей района"</t>
  </si>
  <si>
    <t>Основное мероприятие "Оказание содействия развитию социально-ориентированных некоммерческих организаций (далее – СО НКО) и субъектов социального предпринимательства"</t>
  </si>
  <si>
    <t>Подпрограмма "Охрана окружающей среды Волховского муниципального района"</t>
  </si>
  <si>
    <t>Поддержка экологического воспитания, образования и просвещения школьников</t>
  </si>
  <si>
    <t>Подпрограмма "Устойчивое развитие сельских территорий Волховского муниципального района"</t>
  </si>
  <si>
    <t>Основное мероприятие "Формирование позитивного отношения к сельскому образу жизни, поощрение и популяризация достижений в сфере сельского хозяйства и развития сельских территорий"</t>
  </si>
  <si>
    <t>Подпрограмма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</si>
  <si>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</si>
  <si>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 xml:space="preserve"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 </t>
  </si>
  <si>
    <t>Обеспечение участия представителей Волховского района в областных и федеральных конкурсах и выставках</t>
  </si>
  <si>
    <t>Иные межбюджетные трансферты на повышение надежности и энергетической эффективности в системах теплоснабжения</t>
  </si>
  <si>
    <t>Иные межбюджетные трансферты на замену светильников уличного освещения на энергосберегающие в том числе ремонт сопутствующего оборудования</t>
  </si>
  <si>
    <t>Иные межбюджетные трансферты на проектирование  и строительство системы уличного освещения с внедрением энергосберегающего оборудования</t>
  </si>
  <si>
    <t xml:space="preserve">Иные межбюджетные трансферты на оснащение приборами учета бюджетных учреждений первого уровня </t>
  </si>
  <si>
    <t>Основное мероприятие "Развитие инфраструктуры дополнительного образования"</t>
  </si>
  <si>
    <t>Иные межбюджетные трансферты на поддержку деятельности  молодежных организаций и объединений, молодежных инициатив и развитие волонтерского движения</t>
  </si>
  <si>
    <t>Иные межбюджетные трансферты на реализацию комплекса мер по пропаганде семейных ценностей и поддержке молодых семей</t>
  </si>
  <si>
    <t>Основное мероприятие "Предоставление финансовой и имущественной поддержки субъектам МСП"</t>
  </si>
  <si>
    <t>Основное мероприятие "Содействие развитию организаций инфраструктуры поддержки МСП и продвижению их услуг"</t>
  </si>
  <si>
    <t>Основное мероприятие "Содействие в реализации товаров, работ и услуг субъектов МСП на  потребительском рынке"</t>
  </si>
  <si>
    <t>Предоставление субсидий субъектам малого и среднего предпринимательства  по поддержке организаций потребительской кооперации</t>
  </si>
  <si>
    <t>Основное мероприятие "Формирование эффективной системы управления реализацией мероприятий по развитию  МСП"</t>
  </si>
  <si>
    <t xml:space="preserve">Основное мероприятие "Организация деловых миссий, содействие участию субъектов МСП в региональных, российских и международных конгрессно-выставочных мероприятиях" </t>
  </si>
  <si>
    <t>Содействие участию субъектов МСП в региональных, российских и международных конгрессно-выставочных мероприятиях,иных деловых миссиях</t>
  </si>
  <si>
    <t>S0810</t>
  </si>
  <si>
    <t>Иные межбюджетные трансферты на разработку проектно-изыскательских работ по  капитальному строительству объектов газификации и прохождения Государственной экспертизы</t>
  </si>
  <si>
    <t xml:space="preserve"> </t>
  </si>
  <si>
    <t>60340</t>
  </si>
  <si>
    <t>60350</t>
  </si>
  <si>
    <t>60360</t>
  </si>
  <si>
    <t>11120</t>
  </si>
  <si>
    <t xml:space="preserve"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</t>
  </si>
  <si>
    <t>Организация и проведение конкурсных, выставочных и культурно-массовых мероприятий, в т.ч. выставок-ярмарок продукции народных художественных промыслов и ремесел</t>
  </si>
  <si>
    <t>11130</t>
  </si>
  <si>
    <t>11140</t>
  </si>
  <si>
    <t>11150</t>
  </si>
  <si>
    <t>11160</t>
  </si>
  <si>
    <t>Основное мероприятие "Развитие институтов повышения гражданской активности молодежи"</t>
  </si>
  <si>
    <t>Субсидии организациям инфраструктуры поддержки МСП на развитие и обеспечение хозяйственной деятельности</t>
  </si>
  <si>
    <t>06140</t>
  </si>
  <si>
    <t>11170</t>
  </si>
  <si>
    <t xml:space="preserve">Информационная поддержка работы официального сайта администрации Волховского муниципального района (http://volkhov-raion.ru/), официальных сайтов органов местного самоуправления </t>
  </si>
  <si>
    <t>Подпрограмма "Развитие внутреннего и въездного туризма в Волховском муниципальном районе"</t>
  </si>
  <si>
    <t>Основное мероприятие "Формирование положительного туристского имиджа Волховского муниципального района"</t>
  </si>
  <si>
    <t>Основное мероприятие "Повышение уровня ресурсного потенциала развития агропромышленного и рыбохозяйственного комплекса"</t>
  </si>
  <si>
    <t>Основное мероприятие "Развитие малых форм хозяйствования и сельскохозяйственной кооперации"</t>
  </si>
  <si>
    <t>Иные межбюджетные трансферты на содействие участию молодежного актива Волховского района в молодежных районных, областных, региональных и всероссийских проектах</t>
  </si>
  <si>
    <t>Иные межбюджетные трансферты на организацию движения школьных и студенческих трудовых отрядов</t>
  </si>
  <si>
    <t xml:space="preserve">Обеспечение жильем отдельных категорий граждан, установленных федеральными законами от 12 января 1995 года № 5-ФЗ "О ветеранах" </t>
  </si>
  <si>
    <t>На реализацию мероприятий по установке автоматизированных индивидуальных тепловых пунктов с погодным и часовым  регулированием</t>
  </si>
  <si>
    <t xml:space="preserve">Паспортизация дорог общего пользования </t>
  </si>
  <si>
    <t>Основное мероприятие "Поддержка учреждений сферы культуры и искусства и содействие развитию профессионального уровня работников"</t>
  </si>
  <si>
    <t>Муниципальная программа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</si>
  <si>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>Подпрограмма "Развитие транспортной системы и дорожной инфраструктуры"</t>
  </si>
  <si>
    <t>Основное мероприятие "Развитие комфортного и безопасного общественного транспорта"</t>
  </si>
  <si>
    <t xml:space="preserve">Реализация комплекса мер по содержанию действующей улично-дорожной сети, а также искусственных дорожных сооружений </t>
  </si>
  <si>
    <t>11180</t>
  </si>
  <si>
    <t>Основное мероприятие "Обеспечение публичности бюджета Волховского муниципального района"</t>
  </si>
  <si>
    <t>Развитие и поддержка информационных технологий, обеспечивающих бюджетный процесс</t>
  </si>
  <si>
    <t>11190</t>
  </si>
  <si>
    <t>Основное мероприятие "Постановка на кадастровый учет земельных участков и объектов недвижимого имущества"</t>
  </si>
  <si>
    <t xml:space="preserve">Внесение в сведения ЕГРН информации о границах населенных пунктов Волховского муниципального района </t>
  </si>
  <si>
    <t xml:space="preserve">Внесение в сведения ЕГРН информации о границах территориальных зон населеных пунктов Волховского муниципального района </t>
  </si>
  <si>
    <t xml:space="preserve">2020 год </t>
  </si>
  <si>
    <t>Межбюджетные трансферты, передаваемые бюджету муниципального района из бюджета МО город Волхов на осуществление возложенных полномочий по решению вопросов местного значения на 2019 год и плановый период 2020 и 2021 годов</t>
  </si>
  <si>
    <t>(приложение 11)</t>
  </si>
  <si>
    <t>Дотация на выравнивание бюджетной обеспеченности</t>
  </si>
  <si>
    <t>Дотация на выравнивание бюджетной обеспеченности  за счет средств областного бюджета</t>
  </si>
  <si>
    <t>Итого дотации</t>
  </si>
  <si>
    <t>Иные межбюджетные трансферты на обеспечение мероприятий по переселению граждан из аварийного жилищного фонда</t>
  </si>
  <si>
    <t>Иные межбюджетные трансферты на реализацию мероприятий по обеспечению устойчивого функционирования объектов теплоснабжения на территории Ленинградской области</t>
  </si>
  <si>
    <t>Иные межбюджетные трансферты на проектирование, строительство и реконструкцию объектов</t>
  </si>
  <si>
    <t>Иные межбюджетные трансферты на организацию и проведение мероприятий в сфере культуры</t>
  </si>
  <si>
    <t>Иные межбюджетные трансферты на реализацию мероприятий по строительству и реконструкции спортивных объектов</t>
  </si>
  <si>
    <t>Иные межбюджетные трансферты на поддержку отрасли культуры</t>
  </si>
  <si>
    <t>Иные межбюджетные трансферты  на оказание дополнительной финансовой помощи</t>
  </si>
  <si>
    <t xml:space="preserve">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</si>
  <si>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</si>
  <si>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межбюджетные трансферты бюджетам муниципальных образований Волховского муниципального района Ленинградской области на реализацию мероприятий по внедрению Всероссийского физкультурно-спортивного комплекса "Готов к труду и обороне" (ГТО)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</si>
  <si>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</si>
  <si>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Иные межбюджетные трансферты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</si>
  <si>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Иные межбюджетные трансферты на реализацию комплекса мер по сохранению исторической памяти</t>
  </si>
  <si>
    <t>Иные межбюджетные трансферты на реализацию комплекса мер по профилактике правонарушений и рискованного поведения в молодежной среде</t>
  </si>
  <si>
    <t>Иные межбюджетные трансферты бюджетам муниципальных образований</t>
  </si>
  <si>
    <t>ВСЕГО</t>
  </si>
  <si>
    <t>Формы, цели и объем межбюджетных трансфертов
бюджетам муниципальных образований Волховского муниципального района
на 2019 год и плановый период 2020 и 2021 годов</t>
  </si>
  <si>
    <t>Иные межбюджетные трансферты на реализацию мероприятий по установке автоматизированных индивидуальных тепловых пунктов с погодным и часовым  регулированием</t>
  </si>
  <si>
    <t>Иные межбюджетные трансферты на обеспечение выплат стимулирующего характера работникам муниципальных учреждений культуры Ленинградской области</t>
  </si>
  <si>
    <t>Иные межбюджетные трансферты на замену светильников уличного освещения на энергосберегающие, в том числе ремонт сопутствующего оборудования</t>
  </si>
  <si>
    <t>11200</t>
  </si>
  <si>
    <t>S0490</t>
  </si>
  <si>
    <t>S0510</t>
  </si>
  <si>
    <t>S0570</t>
  </si>
  <si>
    <t xml:space="preserve">Субвенции бюджетам муниципальных районов на осуществление отдельных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</si>
  <si>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</si>
  <si>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муниципальных районов по обеспечению однократно благоустроенным жилым помещением специализированного жилищного фонда по договорам наймаспециализированных жилых помещений детей-сирот и детей, оставшихся безпопечения родителей, лиц из числа детей-сирот и детей, оставшихся без попечения родителей, которые не являются нанимателями жилых помещений по договорам социального найма или членами семьи нанимателя жилогопомещения по договору социального найма либо собственниками жилых помещений, а также детей-сирот и детей, оставшихся без попечения родителей, лиц из числа детей-сирот и детей, оставшихся без попечения родителей, которые являются нанимателями жилых помещений по договорамсоциального найма или членами семьи нанимателя жилого помещенияпо договору социального найма либо собственниками жилых помещений,в случае, если их проживание в ранее занимаемых жилых помещениях признается невозможным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</si>
  <si>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</si>
  <si>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S0600</t>
  </si>
  <si>
    <t>S4410</t>
  </si>
  <si>
    <t>S0840</t>
  </si>
  <si>
    <t>Развитие системы оценки качества образования и информационной прозрачности системы образования</t>
  </si>
  <si>
    <t xml:space="preserve">Подпрограмма "Обеспечение благоприятного инвестиционного климата и развитие диверсифицированного и высокотехнологичного промышленного комплекса в Волховском муниципальном районе" </t>
  </si>
  <si>
    <t xml:space="preserve">решением Совета депутатов </t>
  </si>
  <si>
    <t>(приложение 13)</t>
  </si>
  <si>
    <t>Наименование объекта</t>
  </si>
  <si>
    <t>Бюджетополучатель</t>
  </si>
  <si>
    <t>годы стр-ва</t>
  </si>
  <si>
    <t>Потребность</t>
  </si>
  <si>
    <t>План на 2019 год</t>
  </si>
  <si>
    <t>в том числе</t>
  </si>
  <si>
    <t>Виды работ на 2019 год</t>
  </si>
  <si>
    <t>КБК (для работы)</t>
  </si>
  <si>
    <t>бюджет района</t>
  </si>
  <si>
    <t>областной бюджет</t>
  </si>
  <si>
    <t>Строительство здания крытой ледовой арены в г.Волхов</t>
  </si>
  <si>
    <t>ПИР, экспертиза проекта</t>
  </si>
  <si>
    <t xml:space="preserve">ИТОГО по подпрограмме </t>
  </si>
  <si>
    <t>ВСЕГО по программе</t>
  </si>
  <si>
    <t>Муниципальная программа  "Современное образование в Волховском муниципальном районе"</t>
  </si>
  <si>
    <t>МДОБУ "Детский сад комбинированного вида № 2 "Рябинка" г.Волхов</t>
  </si>
  <si>
    <t>МДОБУ</t>
  </si>
  <si>
    <t>МДОБУ "Детский сад № 4" г.Волхов</t>
  </si>
  <si>
    <t>МДОБУ "Детский сад № 6 "Солнышко" г.Волхов</t>
  </si>
  <si>
    <t>МДОБУ "Детский сад № 8" Сказка"г.Волхов</t>
  </si>
  <si>
    <t>Ремонт кровли</t>
  </si>
  <si>
    <t>МДОБУ "Детский сад № 9 комбинированного вида "Радужка" г.Волхов</t>
  </si>
  <si>
    <t>Ремонт скатной кровли в двух зданиях</t>
  </si>
  <si>
    <t xml:space="preserve">МДОБУ "Детский сад № 20" с.Старая Ладога </t>
  </si>
  <si>
    <t xml:space="preserve">МОБУ "Гостинопольская основная общеобразовательная школа" </t>
  </si>
  <si>
    <t>МОБУ "Усадищенская средняя общеобразовательная школа"</t>
  </si>
  <si>
    <t>Замена электропроводки, ремонт канализации</t>
  </si>
  <si>
    <t>ИТОГО по подпрограмме</t>
  </si>
  <si>
    <t>Подпрограмма "Развитие начального общего, основного общего и среднего общего образования детей в Волховском районе"</t>
  </si>
  <si>
    <t>МОБУ "Алексинская средняя общеобразовательная школа"</t>
  </si>
  <si>
    <t>МОБУ "Кисельнинская средняя общеобразовательная школа"</t>
  </si>
  <si>
    <t>Софинансирование строительства спортплощадки в рамках госпрограммы "Современное образование Ленинградской области"</t>
  </si>
  <si>
    <t>МОБУ "Волховская городская гимназия 3 им.Героя Советского Союза Александра Лукьянова"</t>
  </si>
  <si>
    <t>МОБУ</t>
  </si>
  <si>
    <t>МОБУ "Волховская  средняя общеобразовательная школа № 1"</t>
  </si>
  <si>
    <t>Ремонт асфальтового покрытия и колодцев хозяйственно-бытовой канализации</t>
  </si>
  <si>
    <t>МОБУ "Волховская средняя общеобразовательная школа № 7"</t>
  </si>
  <si>
    <t>МБУДО "Дворец детского (юношеского) творчества Волховского муниципального района</t>
  </si>
  <si>
    <t xml:space="preserve">МОБУ </t>
  </si>
  <si>
    <t>МБУДО "Детско-юношеская спортивная школа" г.Волхов</t>
  </si>
  <si>
    <t>Муниципальная программа "Развитие культуры в Волховском муниципальном районе"</t>
  </si>
  <si>
    <t>МКУК "Волховская межпоселенческая районная библиотека"</t>
  </si>
  <si>
    <t>МКУК</t>
  </si>
  <si>
    <t>Замена оконных блоков</t>
  </si>
  <si>
    <t>МБУДО "Волховская «Волховская художественная школа им. В.М. Максимова»</t>
  </si>
  <si>
    <t>Ремонт центрального входа, замена ограждения со стороны ФСЦ "Волхов"</t>
  </si>
  <si>
    <t>МБУДО "Волховская детская школа искусств"</t>
  </si>
  <si>
    <t>МБУДО "Волховская музыкальная школа им.Я. Сибелиуса"</t>
  </si>
  <si>
    <t>МБУДО "Пашская детская школа искусств"</t>
  </si>
  <si>
    <t xml:space="preserve">МОБУДО "Новоладожская  детская школа искусств" </t>
  </si>
  <si>
    <t>МОБУДО "Сясьстройская детская школа искусств", всего</t>
  </si>
  <si>
    <t>Художественное отделение (ул.Советская, дом 15а)</t>
  </si>
  <si>
    <t>Модернизация системы АПС, ремонт санузлов</t>
  </si>
  <si>
    <t>Музыкальное отделение</t>
  </si>
  <si>
    <t xml:space="preserve">ИТОГО по подпрограмме: </t>
  </si>
  <si>
    <t>Строительство автомобильной дороги "Подъезд к дер. Козарево"</t>
  </si>
  <si>
    <t>МКУСиЗ</t>
  </si>
  <si>
    <t xml:space="preserve">Софинансирование строительства </t>
  </si>
  <si>
    <t>ИТОГО по программе</t>
  </si>
  <si>
    <t>МОБУ "Средняя общеобразовательная школа  № 8 города Волхова"</t>
  </si>
  <si>
    <t xml:space="preserve">Итого непрограммные расходы </t>
  </si>
  <si>
    <t>ВСЕГО по адресной программе</t>
  </si>
  <si>
    <t>На строительство, реконструкцию, приобретение и пристрой объектов для организации общего образования</t>
  </si>
  <si>
    <t>S4450</t>
  </si>
  <si>
    <t>Подпрограмма "Повышение прозрачности и открытости бюджета Волховского муниципального района"</t>
  </si>
  <si>
    <t>Обеспечение работы КЧС и ОПБ, антитеррористической комиссии, комиссий по ОБДД  на территории Волховского муниципального района</t>
  </si>
  <si>
    <t>Обеспечение работы КЧС и ОПБ, антитеррористической комиссии, комиссий по ОБДД на территории Волховского муниципального района</t>
  </si>
  <si>
    <t xml:space="preserve">Создание безопасных условий в образовательных учреждениях </t>
  </si>
  <si>
    <t>Адресная  программа  капитальных  вложений и ремонтных работ на  2019 год и плановый период 2020 и 2021 годов по  объектам  Волховского муниципального района</t>
  </si>
  <si>
    <t>Развитие кадрового потенциала системы социальной сферы</t>
  </si>
  <si>
    <t>Основное мероприятие "Повышение уровня деятельности муниципальных учреждений спорта"</t>
  </si>
  <si>
    <t>Подготовка руководящего состава ГО, КЧС и ОПБ администрации Волховского муниципального района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</si>
  <si>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</si>
  <si>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 муниципальных районов кредитов от кредитных организаций  в валюте Российской Федерации</t>
  </si>
  <si>
    <t>000 01 02 00 00 05 0000 810</t>
  </si>
  <si>
    <t>Условно утвержденные расходы</t>
  </si>
  <si>
    <t>ВСЕГО РАСХОДОВ</t>
  </si>
  <si>
    <t>Итого расходов по кодам бюджетной классификации</t>
  </si>
  <si>
    <t>2 02 15002 05 0000 150</t>
  </si>
  <si>
    <t>2 02 29999 05 0000 150</t>
  </si>
  <si>
    <t>2 02 30027 05 0000 150</t>
  </si>
  <si>
    <t>2 02 35082 05 0000 150</t>
  </si>
  <si>
    <t>2 02 35134 05 0000 150</t>
  </si>
  <si>
    <t>2 02 35176 05 0000 150</t>
  </si>
  <si>
    <t>2 02 35260 05 0000 150</t>
  </si>
  <si>
    <t>2 02 35930 05 0000 150</t>
  </si>
  <si>
    <t>2 02 40014 05 0000 150</t>
  </si>
  <si>
    <t>2 02 49999 05 0000 150</t>
  </si>
  <si>
    <t>2 02 25027 05 0000 150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</si>
  <si>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</si>
  <si>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2 02 00 000 00 0000 150</t>
  </si>
  <si>
    <t>2 02 10000 00 0000 150</t>
  </si>
  <si>
    <t xml:space="preserve"> 2 02 15001 05 0000 150</t>
  </si>
  <si>
    <t xml:space="preserve"> 2 02 30000 00 0000 150</t>
  </si>
  <si>
    <t xml:space="preserve"> 2 02 30024 05 0000 150</t>
  </si>
  <si>
    <t>2 02 35120 05 0000 150</t>
  </si>
  <si>
    <t>2 02 35135 05 0000 150</t>
  </si>
  <si>
    <t xml:space="preserve"> 2 02 40000 00 0000 150</t>
  </si>
  <si>
    <t xml:space="preserve"> 2 02 45160 05 0000 150</t>
  </si>
  <si>
    <t xml:space="preserve">Проведение  и участие в физкультурных мероприятиях и спортивных соревнованиях, спартакиадах для лиц с ограниченными возможностями и инвалидов по различным  видам спорта  </t>
  </si>
  <si>
    <t>60370</t>
  </si>
  <si>
    <t>Иные межбюджетные трансферты на предоставление бюджетных инвестиций  в объекты  капитального строительства газификации муниципальным образованиям</t>
  </si>
  <si>
    <t xml:space="preserve">от  2019 года № </t>
  </si>
  <si>
    <t>2 02 20000 00 0000 150</t>
  </si>
  <si>
    <t>2 02 20077 05 0000 150</t>
  </si>
  <si>
    <t>2 02 20216 05 0000 150</t>
  </si>
  <si>
    <t>2 02 25097 05 0000 150</t>
  </si>
  <si>
    <t xml:space="preserve">2 02 25519 05 0000 150 </t>
  </si>
  <si>
    <t>на организацию электронного и дистанционного обучения детей-инвалидов</t>
  </si>
  <si>
    <t>S4700</t>
  </si>
  <si>
    <t>На организацию электронного и дистанционного обучения детей-инвалидов</t>
  </si>
  <si>
    <t>на поддержку и развитие субъектов малого и среднего предпринимательства, действующих менее одного года, на организацию предпринимательской деятельности</t>
  </si>
  <si>
    <t>Федеральный проект "Успех каждого ребенка"</t>
  </si>
  <si>
    <t>Е2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</si>
  <si>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</si>
  <si>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50970</t>
  </si>
  <si>
    <t>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</si>
  <si>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</si>
  <si>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На ремонт автомобильных дорог общего пользования местного значения</t>
  </si>
  <si>
    <t>Федеральный проект "Современная школа"</t>
  </si>
  <si>
    <t>Е1</t>
  </si>
  <si>
    <t>51690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</si>
  <si>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</si>
  <si>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Основное мероприятие "Создание условий для вовлечения в оборот необрабатываемых земель сельскохозяйственного назначения"</t>
  </si>
  <si>
    <t>Проведение кадастровых работ по образованию земельных участков из состава земель сельскохозяйственного назначения</t>
  </si>
  <si>
    <t>S4680</t>
  </si>
  <si>
    <t>Предоставление субсидий организациям, образующим инфраструктуру поддержки субъектов МСП, на возмещение части  затрат,связанных с оказанием  безвозмездных информационных, консультационных и образовательных  услуг в сфере предпринимательства, на развитие новых направлений поддержки субъектов МСП</t>
  </si>
  <si>
    <t>06150</t>
  </si>
  <si>
    <t>S4560</t>
  </si>
  <si>
    <t>МДОБУ "Детский сад № 21"Белочка" с.Паша</t>
  </si>
  <si>
    <t>МОУ "Усадищенская средняя общеобразовательная школа"</t>
  </si>
  <si>
    <t>Ремонт кровли в здании дошкольных групп</t>
  </si>
  <si>
    <t>МОБУ "Волховская  средняя общеобразовательная школа № 5"</t>
  </si>
  <si>
    <t>МОБУДО "Сясьстройская детская школа искусств"</t>
  </si>
  <si>
    <t>Погашение кредиторской задолженности</t>
  </si>
  <si>
    <t>2019, 2020, 2021</t>
  </si>
  <si>
    <t>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</si>
  <si>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Основное мероприятие "Развитие автомобильных дорог общего пользования и объектов дорожного хозяйства на межпоселенческих территориях"</t>
  </si>
  <si>
    <t>Иные межбюджетные трансферты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</si>
  <si>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Муниципальная программа  Волховского муниципального района  «Развитие малого, среднего бизнеса и потребительского рынка Волховского муниципального района"</t>
  </si>
  <si>
    <t>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</si>
  <si>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Совет депутатов Волховского муниципального района Ленинградской области</t>
  </si>
  <si>
    <t>Комитет по образованию администрации Волховского муниципального района Ленинградской области</t>
  </si>
  <si>
    <t xml:space="preserve">Исполнение функций органов местного самоуправления за счет средств гранта за достижение наилучших значений показателей эффективности деятельности органов местного самоуправления </t>
  </si>
  <si>
    <t>70070</t>
  </si>
  <si>
    <t>проведение кадастровых работ по образованию земельных участков из состава земель сельскохозяйственного назначения</t>
  </si>
  <si>
    <t>(приложение 22)</t>
  </si>
  <si>
    <t>Распределение иных межбюджетных трансфертов на реализацию мероприятий по обеспечению устойчивого функционирования объектов теплоснабжения на территории Ленинградской области  на 2019 год</t>
  </si>
  <si>
    <t>Наименование поселения</t>
  </si>
  <si>
    <t>Муниципальное образование Вындиноостровское  сельское поселение</t>
  </si>
  <si>
    <t>Муниципальное образование Иссадское сельское поселение</t>
  </si>
  <si>
    <t>Итого:</t>
  </si>
  <si>
    <t>11210</t>
  </si>
  <si>
    <t>11211</t>
  </si>
  <si>
    <t>Текущий ремонт автодорог к населенным пунктам Волховского муниципального района</t>
  </si>
  <si>
    <t>Текущий ремонт автодорог к населенным пунктам Волховского муниципального района (исполнение судебных актов)</t>
  </si>
  <si>
    <t>60380</t>
  </si>
  <si>
    <t xml:space="preserve">Иные межбюджетные трансферты бюджетам муниципальных образований Волховского муниципального района на благоустройство общественных зон и дворовых территорий многоквартирных домов </t>
  </si>
  <si>
    <t xml:space="preserve">Проведение мероприятий за счет средств гранта за достижение наилучших значений показателей эффективности деятельности органов местного самоуправления </t>
  </si>
  <si>
    <t>Иные межбюджетные трансферты бюджетам муниципальных образований Волховского муниципального района на за счет средств гранта за достижение наилучших значений показателей эффективности деятельности органов местного самоуправления</t>
  </si>
  <si>
    <t>МДОБУ "Детский сад № 5"Аистенок"</t>
  </si>
  <si>
    <t>МДОБУ "Детский сад № 10" Светлячок"</t>
  </si>
  <si>
    <t>Замена линолеума в музыкальном зале, ремонт эвакуационного пути</t>
  </si>
  <si>
    <t>МДОБУ "Детский сад №17" Сказка"</t>
  </si>
  <si>
    <t>Ремонт пищеблока</t>
  </si>
  <si>
    <t>МОБУ "Иссадская средняя общеобразовательная школа"</t>
  </si>
  <si>
    <t>МОБУ "Староладожская средняя общеобразовательная школа"</t>
  </si>
  <si>
    <t>Монтаж системы ГВС</t>
  </si>
  <si>
    <t>МОБУ "Сясьстройская средняя общеобразовательная школа №1"</t>
  </si>
  <si>
    <t>Ремонт автодороги к дер. Любыни</t>
  </si>
  <si>
    <t>Ремонт дорожного покрытия и элементов дороги</t>
  </si>
  <si>
    <t>Ремонт автодороги к дер. Ашперлово</t>
  </si>
  <si>
    <t>Ремонт автодороги к дер. Горка-Воскресенская</t>
  </si>
  <si>
    <t>Ремонт автодороги к дер.Тайбольское (от с.Паша)</t>
  </si>
  <si>
    <t>Ремонт автодороги к дер. Яхновщина</t>
  </si>
  <si>
    <t>Текущий ремонт автодорог</t>
  </si>
  <si>
    <t>2 02 25169 05 0000 150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</si>
  <si>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</si>
  <si>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(приложение 26)</t>
  </si>
  <si>
    <t>Распределение иных межбюджетных трансфертов на организацию и проведение социально-культурных мероприятий на 2019 год</t>
  </si>
  <si>
    <t>Муниципальное образование город Волхов</t>
  </si>
  <si>
    <t>Муниципальное образование Бережковское сельское поселение</t>
  </si>
  <si>
    <t>Муниципальное образование Вындиноостровское сельское поселение</t>
  </si>
  <si>
    <t>Муниципальное образование Колчановское сельское поселение</t>
  </si>
  <si>
    <t>Муниципальное образование Кисельнинское сельское поселение</t>
  </si>
  <si>
    <t>Муниципальное образование Пашское сельское поселение</t>
  </si>
  <si>
    <t>Муниципальное образование Староладожское сельское поселение</t>
  </si>
  <si>
    <t>Муниципальное образование Усадищенское сельское поселение</t>
  </si>
  <si>
    <t>Муниципальное образование Новоладожское городское поселение</t>
  </si>
  <si>
    <t>Муниципальное образование Сясьстройское городское поселение</t>
  </si>
  <si>
    <t>Распределение иных межбюджетных трансфертов бюджетам муниципальных образований  Волховского муниципального района на поддержку мер по обеспечению сбалансированности бюджетов на 2019 год</t>
  </si>
  <si>
    <t>Расширение системы оповещения населения Волховского муниципального района</t>
  </si>
  <si>
    <t>11220</t>
  </si>
  <si>
    <t>Обеспечение функционирования модели персонифицированного финансирования дополнительного образования детей"</t>
  </si>
  <si>
    <t>11230</t>
  </si>
  <si>
    <t>S4730</t>
  </si>
  <si>
    <t>Ремонт подвального помещения, укрепление конструкций здания, проектная документация на капитальный ремонт (усиление) перекрытия над техническим подпольем здания</t>
  </si>
  <si>
    <t>Софинансирование участия в программе "Реновация объектов образования", ремонт трубопровода, замена канализационных сетей, водоотлив из подвала</t>
  </si>
  <si>
    <t>Участие в программе "Современное образование Ленинградской области", строительство нового здания, реконструкция узла учета тепловой энергии</t>
  </si>
  <si>
    <t>Ремонт учебных помещений, подвала, системы отопления, оборудование площадки для мусорных контейнеров, обустройство гардероба и эвакуационного выхода</t>
  </si>
  <si>
    <t>Обеспечение функционирования модели персонифицированного финансирования дополнительного образования детей</t>
  </si>
  <si>
    <r>
      <t xml:space="preserve">Ремонт путей эвакуации (по предписанию Госпожнадзора), </t>
    </r>
    <r>
      <rPr>
        <b/>
        <i/>
        <sz val="11"/>
        <rFont val="Times New Roman"/>
        <family val="1"/>
      </rPr>
      <t>ремонт фасада здания</t>
    </r>
  </si>
  <si>
    <r>
      <t xml:space="preserve">Замена розлива ХВС и ГВС, ремонт системы отопления, замена систем канализации, ЦО, ХВС и ГВС, </t>
    </r>
    <r>
      <rPr>
        <b/>
        <i/>
        <sz val="11"/>
        <rFont val="Times New Roman"/>
        <family val="1"/>
      </rPr>
      <t>замена линолеума в помещениях, ремонт вентиляции</t>
    </r>
  </si>
  <si>
    <t>МДОБУ "Детский сад № 7 "Искорка" г.Волхов</t>
  </si>
  <si>
    <t>Ремонт полов коридора 2 этажа</t>
  </si>
  <si>
    <r>
      <t xml:space="preserve">Ремонт кровли, </t>
    </r>
    <r>
      <rPr>
        <b/>
        <i/>
        <sz val="11"/>
        <rFont val="Times New Roman"/>
        <family val="1"/>
      </rPr>
      <t>ремонт пола в музыкальном зале (замена покрытия)</t>
    </r>
  </si>
  <si>
    <t>МДОБУ "Детский сад № 18 "Теремок"</t>
  </si>
  <si>
    <t>Ремонт пищеблока и кладовых</t>
  </si>
  <si>
    <r>
      <t xml:space="preserve">Ремонт системы отопления, замена керамической плитки на путях эвакуации,ремонт помещений, </t>
    </r>
    <r>
      <rPr>
        <b/>
        <i/>
        <sz val="11"/>
        <rFont val="Times New Roman"/>
        <family val="1"/>
      </rPr>
      <t>ремонт канализации в подвале</t>
    </r>
  </si>
  <si>
    <t xml:space="preserve">МОБУ "Иссадская основная общеобразовательная школа" </t>
  </si>
  <si>
    <r>
      <t xml:space="preserve">Ремонт кровли, </t>
    </r>
    <r>
      <rPr>
        <b/>
        <i/>
        <sz val="11"/>
        <rFont val="Times New Roman"/>
        <family val="1"/>
      </rPr>
      <t xml:space="preserve">расчет и определение категорийности взрывопожарной и пожарной опасности, приобретение отделочного материала для покрытия полов КМ 2 в дошкольных группах </t>
    </r>
  </si>
  <si>
    <t>Установка ограждений на отопительные приборы</t>
  </si>
  <si>
    <r>
      <t xml:space="preserve">Ремонт фасада, межпанельных швов, ремонт системы отопления, ремонт туалетных комнат (по предписанию Госконтроля), </t>
    </r>
    <r>
      <rPr>
        <b/>
        <i/>
        <sz val="11"/>
        <rFont val="Times New Roman"/>
        <family val="1"/>
      </rPr>
      <t>косметический ремонт кабинетов в рамках реализации нац.проекта "Современная школа"</t>
    </r>
  </si>
  <si>
    <r>
      <t xml:space="preserve">Ремонт кровли пристройки начальной школы, </t>
    </r>
    <r>
      <rPr>
        <b/>
        <i/>
        <sz val="11"/>
        <rFont val="Times New Roman"/>
        <family val="1"/>
      </rPr>
      <t>устройство козырька над аварийным выходом, косметический ремонт кабинетов в рамках реализации нац.проекта "Современная школа"</t>
    </r>
  </si>
  <si>
    <r>
      <t xml:space="preserve">Устройство экранов на радиаторы отопления,оснащение гардеробов ячейками для обуви, </t>
    </r>
    <r>
      <rPr>
        <b/>
        <i/>
        <sz val="11"/>
        <rFont val="Times New Roman"/>
        <family val="1"/>
      </rPr>
      <t>штукатурка и покраска радиаторных решеток</t>
    </r>
  </si>
  <si>
    <t>МОБУ "Хваловская общеобразовательная школа"</t>
  </si>
  <si>
    <t>Установка дверей эвакуационных выходов</t>
  </si>
  <si>
    <t>МОБУ "Волховская  средняя общеобразовательная школа № 6"</t>
  </si>
  <si>
    <t xml:space="preserve">Ремонт кровли по адресу: г.Волхов, пр. Кировский, д.36, замена оконных и дверных блоков, ремонт полов, косметический ремонт помещения, ремонт кровлиздания по адресу:с.Паша, ул. Строительная, д.10 </t>
  </si>
  <si>
    <r>
      <t xml:space="preserve">Косметический  ремонт помещений (по предписанию органов Госконтроля),  </t>
    </r>
    <r>
      <rPr>
        <b/>
        <i/>
        <sz val="11"/>
        <rFont val="Times New Roman"/>
        <family val="1"/>
      </rPr>
      <t>ремонт полов, замена окон</t>
    </r>
  </si>
  <si>
    <r>
      <t xml:space="preserve">Благоустройство территории школы, ремонт кровли с заменой водосточных труб, </t>
    </r>
    <r>
      <rPr>
        <b/>
        <i/>
        <sz val="11"/>
        <rFont val="Times New Roman"/>
        <family val="1"/>
      </rPr>
      <t>ремонт кровли здания, приобретение и установка противопожарной двери</t>
    </r>
  </si>
  <si>
    <r>
      <t xml:space="preserve">Ремонт пожарного выхода, разработка проекта и устройство узла учета теплоэнергии, модернизация системы тревожной сигнализации, ремонт системы АПС, </t>
    </r>
    <r>
      <rPr>
        <b/>
        <i/>
        <sz val="11"/>
        <rFont val="Times New Roman"/>
        <family val="1"/>
      </rPr>
      <t>ремонт эвакуационных выходов, четырех кабинетов и помещения архива</t>
    </r>
  </si>
  <si>
    <r>
      <t xml:space="preserve">Обследование здания, исследование грунтов в основании здания, </t>
    </r>
    <r>
      <rPr>
        <b/>
        <i/>
        <sz val="11"/>
        <rFont val="Times New Roman"/>
        <family val="1"/>
      </rPr>
      <t xml:space="preserve">горизонтальная съемка земельного участка, подготовка межевого плана, </t>
    </r>
    <r>
      <rPr>
        <sz val="11"/>
        <rFont val="Times New Roman"/>
        <family val="1"/>
      </rPr>
      <t xml:space="preserve">ремонт здания по адресу: Волховский район, с.Паша, ул.Советская, д.68а, </t>
    </r>
    <r>
      <rPr>
        <b/>
        <i/>
        <sz val="11"/>
        <rFont val="Times New Roman"/>
        <family val="1"/>
      </rPr>
      <t>ремонт кровли здания по адресу: с.Паша, ул.Советская, д.106</t>
    </r>
  </si>
  <si>
    <r>
      <t xml:space="preserve">Ремонт арки, ремонт пола,  </t>
    </r>
    <r>
      <rPr>
        <b/>
        <i/>
        <sz val="11"/>
        <rFont val="Times New Roman"/>
        <family val="1"/>
      </rPr>
      <t>ремонт крыльца здания и холла</t>
    </r>
  </si>
  <si>
    <t>На капитальное строительство (реконструкцию) объектов теплоэнергетики, включая проектно-изыскательские работы</t>
  </si>
  <si>
    <t>(приложение 56)</t>
  </si>
  <si>
    <r>
      <t xml:space="preserve">Утепление фасада, </t>
    </r>
    <r>
      <rPr>
        <b/>
        <i/>
        <sz val="11"/>
        <rFont val="Times New Roman"/>
        <family val="1"/>
      </rPr>
      <t>замена линолеума в помещениях, замена дверей с армированными стеклами, ремонт отмостки и козырьков</t>
    </r>
  </si>
  <si>
    <t>Монтаж системы ХВС и ГВС</t>
  </si>
  <si>
    <t>Устройство специальной площадки (покрытие, забор, монтаж, установка оборудования) для создания центра тестирования населения в соответствии с ГТО</t>
  </si>
  <si>
    <t xml:space="preserve">Иные межбюджетные трансферты на предоставление бюджетных инвестиций  в объекты  капитального строительства газификации муниципальным образованиям </t>
  </si>
  <si>
    <r>
      <t xml:space="preserve">Софинансирование строительства спортплощадки в рамках госпрограммы "Современное образование Ленинградской области", </t>
    </r>
    <r>
      <rPr>
        <b/>
        <i/>
        <sz val="11"/>
        <rFont val="Times New Roman"/>
        <family val="1"/>
      </rPr>
      <t xml:space="preserve">приобретение линолеума в учебные кабинеты, замена люминисцентных ламп на светодиодные в учебных кабинетах </t>
    </r>
  </si>
  <si>
    <r>
      <t xml:space="preserve">Частичный ремонт кровли, </t>
    </r>
    <r>
      <rPr>
        <b/>
        <i/>
        <sz val="11"/>
        <rFont val="Times New Roman"/>
        <family val="1"/>
      </rPr>
      <t>реконструкция электрощитовой, замена аварийных дверей в подвальных помещениях</t>
    </r>
  </si>
  <si>
    <t>Создание безопасных условий в учреждениях культуры и дополнительного образования детей в сфере искусств</t>
  </si>
  <si>
    <t>11240</t>
  </si>
  <si>
    <t xml:space="preserve">от 20 июня 2019 года № 103 </t>
  </si>
  <si>
    <t>от 20 июня 2019 года № 103</t>
  </si>
  <si>
    <t xml:space="preserve">от  20 июня 2019 года № 103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</si>
</sst>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  <numFmt numFmtId="175" formatCode="_-* #,##0.0_р_._-;\-* #,##0.0_р_._-;_-* &quot;-&quot;??_р_._-;_-@_-"/>
    <numFmt numFmtId="176" formatCode="#,##0.00&quot;р.&quot;"/>
    <numFmt numFmtId="177" formatCode="#,##0.0_ ;\-#,##0.0\ "/>
    <numFmt numFmtId="178" formatCode="#,##0.0000"/>
    <numFmt numFmtId="179" formatCode="#,##0.00000000"/>
    <numFmt numFmtId="180" formatCode="#,##0.00000"/>
    <numFmt numFmtId="181" formatCode="#,##0.00_р_."/>
    <numFmt numFmtId="182" formatCode="_-* #,##0.0_р_._-;\-* #,##0.0_р_._-;_-* &quot;-&quot;?_р_._-;_-@_-"/>
    <numFmt numFmtId="183" formatCode="[$-FC19]d\ mmmm\ yyyy\ &quot;г.&quot;"/>
    <numFmt numFmtId="184" formatCode="#,##0.0000000"/>
    <numFmt numFmtId="185" formatCode="#,##0.000000"/>
    <numFmt numFmtId="186" formatCode="#,##0.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sz val="11"/>
      <color indexed="8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b/>
      <sz val="11"/>
      <name val="Arial Cyr"/>
      <family val="0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Arial Cyr"/>
      <family val="0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Arial Cyr"/>
      <family val="0"/>
    </font>
    <font>
      <sz val="10"/>
      <color theme="1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Arial Cyr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medium"/>
      <right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71">
    <xf numFmtId="0" fontId="0" fillId="0" borderId="0" xfId="0" applyFont="1" applyAlignment="1">
      <alignment/>
    </xf>
    <xf numFmtId="0" fontId="3" fillId="0" borderId="0" xfId="53" applyFont="1" applyFill="1" applyAlignment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10" xfId="53" applyFont="1" applyFill="1" applyBorder="1" applyAlignment="1">
      <alignment vertical="center" wrapText="1"/>
      <protection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0" xfId="53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172" fontId="3" fillId="0" borderId="0" xfId="53" applyNumberFormat="1" applyFont="1" applyFill="1" applyAlignment="1">
      <alignment vertical="center"/>
      <protection/>
    </xf>
    <xf numFmtId="172" fontId="3" fillId="0" borderId="10" xfId="53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0" fontId="13" fillId="0" borderId="0" xfId="53" applyFont="1" applyFill="1" applyAlignment="1">
      <alignment vertical="center"/>
      <protection/>
    </xf>
    <xf numFmtId="0" fontId="5" fillId="0" borderId="0" xfId="53" applyFont="1" applyFill="1" applyAlignment="1">
      <alignment vertical="center"/>
      <protection/>
    </xf>
    <xf numFmtId="0" fontId="7" fillId="0" borderId="10" xfId="53" applyFont="1" applyFill="1" applyBorder="1" applyAlignment="1">
      <alignment vertical="center" wrapText="1"/>
      <protection/>
    </xf>
    <xf numFmtId="0" fontId="15" fillId="0" borderId="0" xfId="53" applyFont="1" applyFill="1" applyBorder="1" applyAlignment="1">
      <alignment vertical="center"/>
      <protection/>
    </xf>
    <xf numFmtId="172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49" fontId="10" fillId="0" borderId="10" xfId="53" applyNumberFormat="1" applyFont="1" applyFill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left" vertical="center" wrapText="1"/>
    </xf>
    <xf numFmtId="172" fontId="12" fillId="0" borderId="10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2" fontId="14" fillId="0" borderId="0" xfId="0" applyNumberFormat="1" applyFont="1" applyFill="1" applyAlignment="1">
      <alignment horizontal="right" vertical="center"/>
    </xf>
    <xf numFmtId="0" fontId="10" fillId="0" borderId="0" xfId="53" applyFont="1" applyFill="1" applyAlignment="1">
      <alignment vertical="center"/>
      <protection/>
    </xf>
    <xf numFmtId="172" fontId="7" fillId="0" borderId="10" xfId="53" applyNumberFormat="1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vertical="center" wrapText="1"/>
      <protection/>
    </xf>
    <xf numFmtId="172" fontId="12" fillId="0" borderId="10" xfId="53" applyNumberFormat="1" applyFont="1" applyFill="1" applyBorder="1" applyAlignment="1">
      <alignment horizontal="center" vertical="center"/>
      <protection/>
    </xf>
    <xf numFmtId="0" fontId="12" fillId="0" borderId="11" xfId="53" applyFont="1" applyFill="1" applyBorder="1" applyAlignment="1">
      <alignment horizontal="center" vertical="center"/>
      <protection/>
    </xf>
    <xf numFmtId="0" fontId="3" fillId="0" borderId="0" xfId="53" applyFont="1" applyFill="1" applyAlignment="1">
      <alignment horizontal="right" vertical="center"/>
      <protection/>
    </xf>
    <xf numFmtId="172" fontId="6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2" fontId="3" fillId="0" borderId="0" xfId="53" applyNumberFormat="1" applyFont="1" applyFill="1" applyAlignment="1">
      <alignment horizontal="right" vertical="center"/>
      <protection/>
    </xf>
    <xf numFmtId="172" fontId="3" fillId="0" borderId="0" xfId="69" applyNumberFormat="1" applyFont="1" applyFill="1" applyAlignment="1">
      <alignment horizontal="right" vertical="center"/>
    </xf>
    <xf numFmtId="172" fontId="12" fillId="0" borderId="10" xfId="69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173" fontId="3" fillId="0" borderId="0" xfId="53" applyNumberFormat="1" applyFont="1" applyFill="1" applyAlignment="1">
      <alignment vertical="center"/>
      <protection/>
    </xf>
    <xf numFmtId="0" fontId="15" fillId="0" borderId="0" xfId="53" applyFont="1" applyFill="1" applyAlignment="1">
      <alignment vertical="center"/>
      <protection/>
    </xf>
    <xf numFmtId="0" fontId="73" fillId="0" borderId="0" xfId="0" applyFont="1" applyFill="1" applyAlignment="1">
      <alignment vertical="center"/>
    </xf>
    <xf numFmtId="0" fontId="4" fillId="0" borderId="0" xfId="53" applyFont="1" applyFill="1" applyAlignment="1">
      <alignment vertical="center"/>
      <protection/>
    </xf>
    <xf numFmtId="172" fontId="4" fillId="0" borderId="0" xfId="53" applyNumberFormat="1" applyFont="1" applyFill="1" applyAlignment="1">
      <alignment vertical="center"/>
      <protection/>
    </xf>
    <xf numFmtId="0" fontId="2" fillId="0" borderId="0" xfId="53" applyFill="1" applyAlignment="1">
      <alignment vertical="center"/>
      <protection/>
    </xf>
    <xf numFmtId="0" fontId="74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horizontal="center" vertical="center"/>
      <protection/>
    </xf>
    <xf numFmtId="0" fontId="15" fillId="0" borderId="10" xfId="53" applyFont="1" applyFill="1" applyBorder="1" applyAlignment="1">
      <alignment vertical="center"/>
      <protection/>
    </xf>
    <xf numFmtId="0" fontId="2" fillId="0" borderId="10" xfId="53" applyFont="1" applyFill="1" applyBorder="1" applyAlignment="1">
      <alignment vertical="center"/>
      <protection/>
    </xf>
    <xf numFmtId="172" fontId="15" fillId="0" borderId="0" xfId="53" applyNumberFormat="1" applyFont="1" applyFill="1" applyBorder="1" applyAlignment="1">
      <alignment horizontal="center" vertical="center"/>
      <protection/>
    </xf>
    <xf numFmtId="0" fontId="2" fillId="0" borderId="0" xfId="53" applyFill="1" applyBorder="1" applyAlignment="1">
      <alignment vertical="center"/>
      <protection/>
    </xf>
    <xf numFmtId="172" fontId="2" fillId="0" borderId="0" xfId="53" applyNumberForma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vertical="center"/>
      <protection/>
    </xf>
    <xf numFmtId="0" fontId="16" fillId="0" borderId="0" xfId="53" applyFont="1" applyFill="1" applyBorder="1" applyAlignment="1">
      <alignment vertical="center"/>
      <protection/>
    </xf>
    <xf numFmtId="172" fontId="16" fillId="0" borderId="0" xfId="53" applyNumberFormat="1" applyFont="1" applyFill="1" applyBorder="1" applyAlignment="1">
      <alignment horizontal="center" vertical="center"/>
      <protection/>
    </xf>
    <xf numFmtId="172" fontId="2" fillId="0" borderId="0" xfId="53" applyNumberFormat="1" applyFill="1" applyAlignment="1">
      <alignment vertical="center"/>
      <protection/>
    </xf>
    <xf numFmtId="0" fontId="10" fillId="0" borderId="0" xfId="57" applyFont="1" applyFill="1" applyAlignment="1">
      <alignment vertical="center"/>
      <protection/>
    </xf>
    <xf numFmtId="172" fontId="3" fillId="0" borderId="0" xfId="0" applyNumberFormat="1" applyFont="1" applyFill="1" applyAlignment="1">
      <alignment/>
    </xf>
    <xf numFmtId="172" fontId="10" fillId="0" borderId="10" xfId="68" applyNumberFormat="1" applyFont="1" applyFill="1" applyBorder="1" applyAlignment="1">
      <alignment horizontal="center" vertical="center"/>
    </xf>
    <xf numFmtId="172" fontId="12" fillId="0" borderId="10" xfId="68" applyNumberFormat="1" applyFont="1" applyFill="1" applyBorder="1" applyAlignment="1">
      <alignment horizontal="center" vertical="center"/>
    </xf>
    <xf numFmtId="172" fontId="12" fillId="0" borderId="12" xfId="53" applyNumberFormat="1" applyFont="1" applyFill="1" applyBorder="1" applyAlignment="1">
      <alignment horizontal="center" vertical="center" wrapText="1"/>
      <protection/>
    </xf>
    <xf numFmtId="172" fontId="12" fillId="0" borderId="13" xfId="53" applyNumberFormat="1" applyFont="1" applyFill="1" applyBorder="1" applyAlignment="1">
      <alignment vertical="center" wrapText="1"/>
      <protection/>
    </xf>
    <xf numFmtId="0" fontId="75" fillId="0" borderId="10" xfId="53" applyFont="1" applyFill="1" applyBorder="1" applyAlignment="1">
      <alignment vertical="center"/>
      <protection/>
    </xf>
    <xf numFmtId="0" fontId="76" fillId="0" borderId="10" xfId="53" applyFont="1" applyFill="1" applyBorder="1" applyAlignment="1">
      <alignment vertical="center" wrapText="1"/>
      <protection/>
    </xf>
    <xf numFmtId="0" fontId="77" fillId="0" borderId="0" xfId="53" applyFont="1" applyFill="1" applyAlignment="1">
      <alignment vertical="center"/>
      <protection/>
    </xf>
    <xf numFmtId="186" fontId="76" fillId="0" borderId="10" xfId="53" applyNumberFormat="1" applyFont="1" applyFill="1" applyBorder="1" applyAlignment="1">
      <alignment horizontal="center" vertical="center"/>
      <protection/>
    </xf>
    <xf numFmtId="172" fontId="7" fillId="0" borderId="0" xfId="0" applyNumberFormat="1" applyFont="1" applyFill="1" applyAlignment="1">
      <alignment horizontal="left"/>
    </xf>
    <xf numFmtId="0" fontId="12" fillId="0" borderId="10" xfId="53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vertical="center"/>
      <protection/>
    </xf>
    <xf numFmtId="0" fontId="10" fillId="0" borderId="10" xfId="53" applyFont="1" applyFill="1" applyBorder="1" applyAlignment="1">
      <alignment vertical="center" wrapText="1"/>
      <protection/>
    </xf>
    <xf numFmtId="0" fontId="10" fillId="0" borderId="0" xfId="55" applyFont="1" applyFill="1" applyAlignment="1">
      <alignment vertical="center"/>
      <protection/>
    </xf>
    <xf numFmtId="0" fontId="12" fillId="0" borderId="10" xfId="58" applyFont="1" applyFill="1" applyBorder="1" applyAlignment="1">
      <alignment horizontal="center" vertical="center" wrapText="1"/>
      <protection/>
    </xf>
    <xf numFmtId="0" fontId="10" fillId="0" borderId="0" xfId="55" applyFont="1" applyFill="1">
      <alignment/>
      <protection/>
    </xf>
    <xf numFmtId="172" fontId="10" fillId="0" borderId="10" xfId="69" applyNumberFormat="1" applyFont="1" applyFill="1" applyBorder="1" applyAlignment="1">
      <alignment horizontal="center" vertical="center" wrapText="1"/>
    </xf>
    <xf numFmtId="172" fontId="10" fillId="0" borderId="10" xfId="55" applyNumberFormat="1" applyFont="1" applyFill="1" applyBorder="1" applyAlignment="1">
      <alignment horizontal="center" vertical="center"/>
      <protection/>
    </xf>
    <xf numFmtId="0" fontId="12" fillId="0" borderId="10" xfId="55" applyFont="1" applyFill="1" applyBorder="1" applyAlignment="1">
      <alignment horizontal="left" vertical="top" wrapText="1"/>
      <protection/>
    </xf>
    <xf numFmtId="0" fontId="12" fillId="0" borderId="0" xfId="55" applyFont="1" applyFill="1" applyAlignment="1">
      <alignment horizontal="left"/>
      <protection/>
    </xf>
    <xf numFmtId="176" fontId="10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11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2" fillId="0" borderId="0" xfId="55" applyFont="1" applyFill="1" applyAlignment="1">
      <alignment vertical="center"/>
      <protection/>
    </xf>
    <xf numFmtId="49" fontId="12" fillId="0" borderId="10" xfId="55" applyNumberFormat="1" applyFont="1" applyFill="1" applyBorder="1" applyAlignment="1">
      <alignment vertical="top" wrapText="1"/>
      <protection/>
    </xf>
    <xf numFmtId="172" fontId="12" fillId="0" borderId="10" xfId="69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0" fillId="0" borderId="0" xfId="53" applyFont="1" applyFill="1" applyAlignment="1">
      <alignment horizontal="right"/>
      <protection/>
    </xf>
    <xf numFmtId="0" fontId="12" fillId="0" borderId="10" xfId="53" applyFont="1" applyFill="1" applyBorder="1" applyAlignment="1">
      <alignment vertical="center"/>
      <protection/>
    </xf>
    <xf numFmtId="0" fontId="10" fillId="0" borderId="10" xfId="53" applyFont="1" applyFill="1" applyBorder="1" applyAlignment="1">
      <alignment horizontal="left" vertical="center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0" fontId="17" fillId="0" borderId="10" xfId="53" applyFont="1" applyFill="1" applyBorder="1" applyAlignment="1">
      <alignment horizontal="center" vertical="center" wrapText="1"/>
      <protection/>
    </xf>
    <xf numFmtId="172" fontId="14" fillId="0" borderId="14" xfId="0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/>
    </xf>
    <xf numFmtId="172" fontId="50" fillId="0" borderId="0" xfId="0" applyNumberFormat="1" applyFont="1" applyFill="1" applyAlignment="1">
      <alignment/>
    </xf>
    <xf numFmtId="0" fontId="10" fillId="0" borderId="13" xfId="53" applyFont="1" applyFill="1" applyBorder="1" applyAlignment="1">
      <alignment horizontal="left" vertical="top" wrapText="1"/>
      <protection/>
    </xf>
    <xf numFmtId="0" fontId="10" fillId="0" borderId="15" xfId="53" applyFont="1" applyFill="1" applyBorder="1" applyAlignment="1">
      <alignment horizontal="left" vertical="top" wrapText="1"/>
      <protection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6" xfId="53" applyNumberFormat="1" applyFont="1" applyFill="1" applyBorder="1" applyAlignment="1">
      <alignment horizontal="center" vertical="center" wrapText="1"/>
      <protection/>
    </xf>
    <xf numFmtId="49" fontId="12" fillId="0" borderId="17" xfId="53" applyNumberFormat="1" applyFont="1" applyFill="1" applyBorder="1" applyAlignment="1">
      <alignment horizontal="center" vertical="center" wrapText="1"/>
      <protection/>
    </xf>
    <xf numFmtId="49" fontId="12" fillId="0" borderId="18" xfId="53" applyNumberFormat="1" applyFont="1" applyFill="1" applyBorder="1" applyAlignment="1">
      <alignment horizontal="center" vertical="center" wrapText="1"/>
      <protection/>
    </xf>
    <xf numFmtId="49" fontId="12" fillId="0" borderId="11" xfId="53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11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vertical="center" wrapText="1"/>
    </xf>
    <xf numFmtId="11" fontId="12" fillId="0" borderId="10" xfId="0" applyNumberFormat="1" applyFont="1" applyFill="1" applyBorder="1" applyAlignment="1">
      <alignment horizontal="left" vertical="center" wrapText="1"/>
    </xf>
    <xf numFmtId="43" fontId="12" fillId="0" borderId="10" xfId="69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left" vertical="center" wrapText="1"/>
    </xf>
    <xf numFmtId="43" fontId="10" fillId="0" borderId="10" xfId="69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top" wrapText="1"/>
    </xf>
    <xf numFmtId="11" fontId="10" fillId="0" borderId="10" xfId="0" applyNumberFormat="1" applyFont="1" applyFill="1" applyBorder="1" applyAlignment="1">
      <alignment vertical="top" wrapText="1"/>
    </xf>
    <xf numFmtId="174" fontId="10" fillId="0" borderId="10" xfId="0" applyNumberFormat="1" applyFont="1" applyFill="1" applyBorder="1" applyAlignment="1">
      <alignment horizontal="left" vertical="center" wrapText="1"/>
    </xf>
    <xf numFmtId="0" fontId="10" fillId="0" borderId="10" xfId="53" applyNumberFormat="1" applyFont="1" applyFill="1" applyBorder="1" applyAlignment="1">
      <alignment horizontal="center" vertical="center" wrapText="1"/>
      <protection/>
    </xf>
    <xf numFmtId="176" fontId="10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left" vertical="center" wrapText="1"/>
      <protection/>
    </xf>
    <xf numFmtId="172" fontId="10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/>
    </xf>
    <xf numFmtId="172" fontId="12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176" fontId="12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center"/>
    </xf>
    <xf numFmtId="0" fontId="10" fillId="0" borderId="19" xfId="53" applyFont="1" applyFill="1" applyBorder="1" applyAlignment="1">
      <alignment horizontal="left" vertical="center"/>
      <protection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right" vertical="center"/>
    </xf>
    <xf numFmtId="49" fontId="10" fillId="0" borderId="20" xfId="0" applyNumberFormat="1" applyFont="1" applyFill="1" applyBorder="1" applyAlignment="1">
      <alignment horizontal="left" vertical="center" wrapText="1"/>
    </xf>
    <xf numFmtId="0" fontId="10" fillId="0" borderId="21" xfId="53" applyFont="1" applyFill="1" applyBorder="1" applyAlignment="1">
      <alignment horizontal="left" vertical="center"/>
      <protection/>
    </xf>
    <xf numFmtId="173" fontId="10" fillId="0" borderId="10" xfId="0" applyNumberFormat="1" applyFont="1" applyFill="1" applyBorder="1" applyAlignment="1">
      <alignment horizontal="center" vertical="center"/>
    </xf>
    <xf numFmtId="0" fontId="10" fillId="0" borderId="20" xfId="53" applyFont="1" applyFill="1" applyBorder="1" applyAlignment="1">
      <alignment horizontal="left" vertical="center"/>
      <protection/>
    </xf>
    <xf numFmtId="0" fontId="10" fillId="0" borderId="22" xfId="53" applyFont="1" applyFill="1" applyBorder="1" applyAlignment="1">
      <alignment horizontal="left" vertical="center"/>
      <protection/>
    </xf>
    <xf numFmtId="49" fontId="10" fillId="0" borderId="10" xfId="56" applyNumberFormat="1" applyFont="1" applyFill="1" applyBorder="1" applyAlignment="1">
      <alignment horizontal="left" vertical="center" wrapText="1"/>
      <protection/>
    </xf>
    <xf numFmtId="11" fontId="10" fillId="0" borderId="0" xfId="0" applyNumberFormat="1" applyFont="1" applyFill="1" applyBorder="1" applyAlignment="1">
      <alignment horizontal="left" vertical="center" wrapText="1"/>
    </xf>
    <xf numFmtId="0" fontId="12" fillId="0" borderId="10" xfId="56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0" fillId="0" borderId="10" xfId="56" applyFont="1" applyFill="1" applyBorder="1" applyAlignment="1">
      <alignment horizontal="left" vertical="center" wrapText="1"/>
      <protection/>
    </xf>
    <xf numFmtId="0" fontId="12" fillId="0" borderId="10" xfId="56" applyFont="1" applyFill="1" applyBorder="1" applyAlignment="1">
      <alignment vertical="center" wrapText="1"/>
      <protection/>
    </xf>
    <xf numFmtId="49" fontId="12" fillId="0" borderId="10" xfId="56" applyNumberFormat="1" applyFont="1" applyFill="1" applyBorder="1" applyAlignment="1">
      <alignment horizontal="right" vertical="center"/>
      <protection/>
    </xf>
    <xf numFmtId="49" fontId="12" fillId="0" borderId="10" xfId="56" applyNumberFormat="1" applyFont="1" applyFill="1" applyBorder="1" applyAlignment="1">
      <alignment horizontal="center" vertical="center"/>
      <protection/>
    </xf>
    <xf numFmtId="49" fontId="12" fillId="0" borderId="10" xfId="56" applyNumberFormat="1" applyFont="1" applyFill="1" applyBorder="1" applyAlignment="1">
      <alignment horizontal="left" vertical="center"/>
      <protection/>
    </xf>
    <xf numFmtId="49" fontId="10" fillId="0" borderId="10" xfId="56" applyNumberFormat="1" applyFont="1" applyFill="1" applyBorder="1" applyAlignment="1">
      <alignment horizontal="right" vertical="center"/>
      <protection/>
    </xf>
    <xf numFmtId="49" fontId="10" fillId="0" borderId="10" xfId="56" applyNumberFormat="1" applyFont="1" applyFill="1" applyBorder="1" applyAlignment="1">
      <alignment horizontal="center" vertical="center"/>
      <protection/>
    </xf>
    <xf numFmtId="49" fontId="10" fillId="0" borderId="10" xfId="56" applyNumberFormat="1" applyFont="1" applyFill="1" applyBorder="1" applyAlignment="1">
      <alignment horizontal="left" vertical="center"/>
      <protection/>
    </xf>
    <xf numFmtId="0" fontId="10" fillId="0" borderId="10" xfId="56" applyFont="1" applyFill="1" applyBorder="1" applyAlignment="1">
      <alignment vertical="center" wrapText="1"/>
      <protection/>
    </xf>
    <xf numFmtId="176" fontId="12" fillId="0" borderId="10" xfId="0" applyNumberFormat="1" applyFont="1" applyFill="1" applyBorder="1" applyAlignment="1">
      <alignment horizontal="left" vertical="top" wrapText="1"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vertical="top" wrapText="1"/>
      <protection/>
    </xf>
    <xf numFmtId="0" fontId="10" fillId="0" borderId="0" xfId="53" applyFont="1" applyFill="1" applyAlignment="1">
      <alignment horizontal="right" vertical="center"/>
      <protection/>
    </xf>
    <xf numFmtId="173" fontId="10" fillId="0" borderId="0" xfId="53" applyNumberFormat="1" applyFont="1" applyFill="1" applyAlignment="1">
      <alignment vertical="center"/>
      <protection/>
    </xf>
    <xf numFmtId="172" fontId="10" fillId="0" borderId="0" xfId="53" applyNumberFormat="1" applyFont="1" applyFill="1" applyAlignment="1">
      <alignment vertical="center"/>
      <protection/>
    </xf>
    <xf numFmtId="0" fontId="20" fillId="0" borderId="0" xfId="53" applyFont="1" applyFill="1" applyAlignment="1">
      <alignment vertical="center"/>
      <protection/>
    </xf>
    <xf numFmtId="0" fontId="12" fillId="0" borderId="0" xfId="53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18" fillId="0" borderId="0" xfId="53" applyFont="1" applyFill="1" applyAlignment="1">
      <alignment vertical="center"/>
      <protection/>
    </xf>
    <xf numFmtId="0" fontId="12" fillId="0" borderId="10" xfId="53" applyFont="1" applyFill="1" applyBorder="1" applyAlignment="1">
      <alignment vertical="center" wrapText="1"/>
      <protection/>
    </xf>
    <xf numFmtId="173" fontId="10" fillId="0" borderId="10" xfId="53" applyNumberFormat="1" applyFont="1" applyFill="1" applyBorder="1" applyAlignment="1">
      <alignment horizontal="center" vertical="center"/>
      <protection/>
    </xf>
    <xf numFmtId="172" fontId="10" fillId="0" borderId="10" xfId="53" applyNumberFormat="1" applyFont="1" applyFill="1" applyBorder="1" applyAlignment="1">
      <alignment horizontal="center" vertical="center"/>
      <protection/>
    </xf>
    <xf numFmtId="0" fontId="79" fillId="0" borderId="10" xfId="53" applyFont="1" applyFill="1" applyBorder="1" applyAlignment="1">
      <alignment vertical="center"/>
      <protection/>
    </xf>
    <xf numFmtId="0" fontId="80" fillId="0" borderId="10" xfId="53" applyFont="1" applyFill="1" applyBorder="1" applyAlignment="1">
      <alignment vertical="center" wrapText="1"/>
      <protection/>
    </xf>
    <xf numFmtId="186" fontId="80" fillId="0" borderId="10" xfId="53" applyNumberFormat="1" applyFont="1" applyFill="1" applyBorder="1" applyAlignment="1">
      <alignment horizontal="center" vertical="center"/>
      <protection/>
    </xf>
    <xf numFmtId="0" fontId="81" fillId="0" borderId="0" xfId="53" applyFont="1" applyFill="1" applyAlignment="1">
      <alignment vertical="center"/>
      <protection/>
    </xf>
    <xf numFmtId="0" fontId="20" fillId="0" borderId="0" xfId="53" applyFont="1" applyFill="1" applyBorder="1" applyAlignment="1">
      <alignment vertical="center"/>
      <protection/>
    </xf>
    <xf numFmtId="172" fontId="20" fillId="0" borderId="0" xfId="53" applyNumberFormat="1" applyFont="1" applyFill="1" applyBorder="1" applyAlignment="1">
      <alignment horizontal="center" vertical="center"/>
      <protection/>
    </xf>
    <xf numFmtId="0" fontId="18" fillId="0" borderId="0" xfId="53" applyFont="1" applyFill="1" applyBorder="1" applyAlignment="1">
      <alignment vertical="center"/>
      <protection/>
    </xf>
    <xf numFmtId="172" fontId="18" fillId="0" borderId="0" xfId="53" applyNumberFormat="1" applyFont="1" applyFill="1" applyBorder="1" applyAlignment="1">
      <alignment horizontal="center" vertical="center"/>
      <protection/>
    </xf>
    <xf numFmtId="0" fontId="20" fillId="0" borderId="0" xfId="53" applyFont="1" applyFill="1" applyBorder="1" applyAlignment="1">
      <alignment vertical="center"/>
      <protection/>
    </xf>
    <xf numFmtId="172" fontId="20" fillId="0" borderId="0" xfId="53" applyNumberFormat="1" applyFont="1" applyFill="1" applyBorder="1" applyAlignment="1">
      <alignment horizontal="center" vertical="center"/>
      <protection/>
    </xf>
    <xf numFmtId="172" fontId="18" fillId="0" borderId="0" xfId="53" applyNumberFormat="1" applyFont="1" applyFill="1" applyAlignment="1">
      <alignment vertical="center"/>
      <protection/>
    </xf>
    <xf numFmtId="0" fontId="10" fillId="0" borderId="0" xfId="53" applyFont="1" applyFill="1" applyAlignment="1">
      <alignment vertical="center" wrapText="1"/>
      <protection/>
    </xf>
    <xf numFmtId="172" fontId="10" fillId="0" borderId="0" xfId="53" applyNumberFormat="1" applyFont="1" applyFill="1" applyAlignment="1">
      <alignment horizontal="right" vertical="center"/>
      <protection/>
    </xf>
    <xf numFmtId="0" fontId="10" fillId="0" borderId="0" xfId="53" applyFont="1" applyFill="1" applyAlignment="1">
      <alignment horizontal="center" vertical="center"/>
      <protection/>
    </xf>
    <xf numFmtId="49" fontId="10" fillId="0" borderId="0" xfId="53" applyNumberFormat="1" applyFont="1" applyFill="1" applyAlignment="1">
      <alignment vertical="center" wrapText="1"/>
      <protection/>
    </xf>
    <xf numFmtId="49" fontId="10" fillId="0" borderId="10" xfId="53" applyNumberFormat="1" applyFont="1" applyFill="1" applyBorder="1" applyAlignment="1">
      <alignment vertical="center" wrapText="1"/>
      <protection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4" fillId="0" borderId="0" xfId="53" applyFont="1" applyFill="1" applyAlignment="1">
      <alignment vertical="center"/>
      <protection/>
    </xf>
    <xf numFmtId="0" fontId="0" fillId="0" borderId="0" xfId="0" applyFont="1" applyFill="1" applyAlignment="1">
      <alignment vertical="center" wrapText="1"/>
    </xf>
    <xf numFmtId="0" fontId="14" fillId="0" borderId="0" xfId="53" applyFont="1" applyFill="1" applyAlignment="1">
      <alignment horizontal="center" vertical="center"/>
      <protection/>
    </xf>
    <xf numFmtId="49" fontId="14" fillId="0" borderId="0" xfId="53" applyNumberFormat="1" applyFont="1" applyFill="1" applyAlignment="1">
      <alignment vertical="center" wrapText="1"/>
      <protection/>
    </xf>
    <xf numFmtId="0" fontId="17" fillId="0" borderId="0" xfId="53" applyFont="1" applyFill="1" applyAlignment="1">
      <alignment vertical="center"/>
      <protection/>
    </xf>
    <xf numFmtId="172" fontId="17" fillId="0" borderId="10" xfId="53" applyNumberFormat="1" applyFont="1" applyFill="1" applyBorder="1" applyAlignment="1">
      <alignment horizontal="center" vertical="center"/>
      <protection/>
    </xf>
    <xf numFmtId="0" fontId="17" fillId="0" borderId="10" xfId="53" applyFont="1" applyFill="1" applyBorder="1" applyAlignment="1">
      <alignment horizontal="center" vertical="center"/>
      <protection/>
    </xf>
    <xf numFmtId="49" fontId="17" fillId="0" borderId="10" xfId="53" applyNumberFormat="1" applyFont="1" applyFill="1" applyBorder="1" applyAlignment="1">
      <alignment vertical="center" wrapText="1"/>
      <protection/>
    </xf>
    <xf numFmtId="0" fontId="14" fillId="0" borderId="10" xfId="53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vertical="center" wrapText="1"/>
      <protection/>
    </xf>
    <xf numFmtId="172" fontId="14" fillId="0" borderId="10" xfId="53" applyNumberFormat="1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left" vertical="top" wrapText="1"/>
      <protection/>
    </xf>
    <xf numFmtId="0" fontId="14" fillId="0" borderId="11" xfId="53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173" fontId="14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left"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174" fontId="14" fillId="0" borderId="10" xfId="53" applyNumberFormat="1" applyFont="1" applyFill="1" applyBorder="1" applyAlignment="1">
      <alignment horizontal="left" vertical="center" wrapText="1"/>
      <protection/>
    </xf>
    <xf numFmtId="0" fontId="82" fillId="0" borderId="10" xfId="0" applyFont="1" applyFill="1" applyBorder="1" applyAlignment="1">
      <alignment vertical="center"/>
    </xf>
    <xf numFmtId="2" fontId="14" fillId="0" borderId="10" xfId="53" applyNumberFormat="1" applyFont="1" applyFill="1" applyBorder="1" applyAlignment="1">
      <alignment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49" fontId="10" fillId="0" borderId="0" xfId="53" applyNumberFormat="1" applyFont="1" applyFill="1" applyBorder="1" applyAlignment="1">
      <alignment vertical="center" wrapText="1"/>
      <protection/>
    </xf>
    <xf numFmtId="172" fontId="14" fillId="0" borderId="0" xfId="53" applyNumberFormat="1" applyFont="1" applyFill="1" applyBorder="1" applyAlignment="1">
      <alignment horizontal="center" vertical="center"/>
      <protection/>
    </xf>
    <xf numFmtId="49" fontId="14" fillId="0" borderId="0" xfId="53" applyNumberFormat="1" applyFont="1" applyFill="1" applyAlignment="1">
      <alignment horizontal="right" vertical="center" wrapText="1"/>
      <protection/>
    </xf>
    <xf numFmtId="0" fontId="14" fillId="0" borderId="0" xfId="53" applyFont="1" applyFill="1" applyAlignment="1">
      <alignment vertical="center" wrapText="1"/>
      <protection/>
    </xf>
    <xf numFmtId="172" fontId="10" fillId="0" borderId="0" xfId="0" applyNumberFormat="1" applyFont="1" applyFill="1" applyAlignment="1">
      <alignment horizontal="center" vertical="center"/>
    </xf>
    <xf numFmtId="172" fontId="0" fillId="0" borderId="0" xfId="0" applyNumberFormat="1" applyFont="1" applyFill="1" applyAlignment="1">
      <alignment vertical="center" wrapText="1"/>
    </xf>
    <xf numFmtId="172" fontId="14" fillId="0" borderId="0" xfId="53" applyNumberFormat="1" applyFont="1" applyFill="1" applyAlignment="1">
      <alignment horizontal="center" vertical="center"/>
      <protection/>
    </xf>
    <xf numFmtId="172" fontId="14" fillId="0" borderId="10" xfId="53" applyNumberFormat="1" applyFont="1" applyFill="1" applyBorder="1" applyAlignment="1">
      <alignment vertical="center"/>
      <protection/>
    </xf>
    <xf numFmtId="174" fontId="14" fillId="0" borderId="10" xfId="53" applyNumberFormat="1" applyFont="1" applyFill="1" applyBorder="1" applyAlignment="1">
      <alignment vertical="center" wrapText="1"/>
      <protection/>
    </xf>
    <xf numFmtId="174" fontId="10" fillId="0" borderId="10" xfId="53" applyNumberFormat="1" applyFont="1" applyFill="1" applyBorder="1" applyAlignment="1">
      <alignment vertical="center" wrapText="1"/>
      <protection/>
    </xf>
    <xf numFmtId="172" fontId="17" fillId="0" borderId="10" xfId="53" applyNumberFormat="1" applyFont="1" applyFill="1" applyBorder="1" applyAlignment="1">
      <alignment vertical="center"/>
      <protection/>
    </xf>
    <xf numFmtId="172" fontId="14" fillId="0" borderId="15" xfId="53" applyNumberFormat="1" applyFont="1" applyFill="1" applyBorder="1" applyAlignment="1">
      <alignment vertical="center"/>
      <protection/>
    </xf>
    <xf numFmtId="0" fontId="14" fillId="0" borderId="10" xfId="53" applyFont="1" applyFill="1" applyBorder="1" applyAlignment="1">
      <alignment vertical="center"/>
      <protection/>
    </xf>
    <xf numFmtId="0" fontId="17" fillId="0" borderId="10" xfId="53" applyFont="1" applyFill="1" applyBorder="1" applyAlignment="1">
      <alignment vertical="center"/>
      <protection/>
    </xf>
    <xf numFmtId="0" fontId="0" fillId="0" borderId="0" xfId="0" applyFont="1" applyFill="1" applyAlignment="1">
      <alignment horizontal="center" wrapText="1"/>
    </xf>
    <xf numFmtId="172" fontId="17" fillId="0" borderId="10" xfId="0" applyNumberFormat="1" applyFont="1" applyFill="1" applyBorder="1" applyAlignment="1">
      <alignment horizontal="center" vertical="center" wrapText="1"/>
    </xf>
    <xf numFmtId="172" fontId="17" fillId="0" borderId="10" xfId="0" applyNumberFormat="1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top"/>
    </xf>
    <xf numFmtId="0" fontId="82" fillId="0" borderId="10" xfId="0" applyFont="1" applyFill="1" applyBorder="1" applyAlignment="1">
      <alignment horizontal="justify" vertical="top"/>
    </xf>
    <xf numFmtId="0" fontId="20" fillId="0" borderId="10" xfId="53" applyFont="1" applyFill="1" applyBorder="1" applyAlignment="1">
      <alignment vertical="center"/>
      <protection/>
    </xf>
    <xf numFmtId="0" fontId="18" fillId="0" borderId="10" xfId="53" applyFont="1" applyFill="1" applyBorder="1" applyAlignment="1">
      <alignment vertical="center"/>
      <protection/>
    </xf>
    <xf numFmtId="173" fontId="10" fillId="0" borderId="0" xfId="53" applyNumberFormat="1" applyFont="1" applyFill="1" applyAlignment="1">
      <alignment horizontal="right" vertical="center"/>
      <protection/>
    </xf>
    <xf numFmtId="172" fontId="10" fillId="0" borderId="0" xfId="57" applyNumberFormat="1" applyFont="1" applyFill="1" applyAlignment="1">
      <alignment horizontal="right" vertical="center"/>
      <protection/>
    </xf>
    <xf numFmtId="0" fontId="10" fillId="0" borderId="0" xfId="57" applyFont="1" applyFill="1">
      <alignment/>
      <protection/>
    </xf>
    <xf numFmtId="0" fontId="12" fillId="0" borderId="0" xfId="57" applyFont="1" applyFill="1" applyAlignment="1">
      <alignment horizontal="center" wrapText="1"/>
      <protection/>
    </xf>
    <xf numFmtId="0" fontId="12" fillId="0" borderId="0" xfId="57" applyFont="1" applyFill="1" applyAlignment="1">
      <alignment horizontal="left" vertical="center" wrapText="1"/>
      <protection/>
    </xf>
    <xf numFmtId="0" fontId="10" fillId="0" borderId="0" xfId="57" applyFont="1" applyFill="1" applyAlignment="1">
      <alignment horizontal="left" vertical="center"/>
      <protection/>
    </xf>
    <xf numFmtId="0" fontId="10" fillId="0" borderId="0" xfId="57" applyFont="1" applyFill="1" applyAlignment="1">
      <alignment horizontal="center"/>
      <protection/>
    </xf>
    <xf numFmtId="0" fontId="10" fillId="0" borderId="10" xfId="57" applyFont="1" applyFill="1" applyBorder="1" applyAlignment="1">
      <alignment horizontal="center" vertical="center"/>
      <protection/>
    </xf>
    <xf numFmtId="0" fontId="10" fillId="0" borderId="10" xfId="57" applyFont="1" applyFill="1" applyBorder="1" applyAlignment="1">
      <alignment horizontal="left" vertical="center" wrapText="1"/>
      <protection/>
    </xf>
    <xf numFmtId="172" fontId="14" fillId="0" borderId="10" xfId="57" applyNumberFormat="1" applyFont="1" applyFill="1" applyBorder="1" applyAlignment="1">
      <alignment horizontal="center" vertical="center"/>
      <protection/>
    </xf>
    <xf numFmtId="172" fontId="10" fillId="0" borderId="10" xfId="57" applyNumberFormat="1" applyFont="1" applyFill="1" applyBorder="1" applyAlignment="1">
      <alignment horizontal="center" vertical="center"/>
      <protection/>
    </xf>
    <xf numFmtId="172" fontId="12" fillId="0" borderId="10" xfId="55" applyNumberFormat="1" applyFont="1" applyFill="1" applyBorder="1" applyAlignment="1">
      <alignment horizontal="center" vertical="center" wrapText="1"/>
      <protection/>
    </xf>
    <xf numFmtId="0" fontId="12" fillId="0" borderId="0" xfId="57" applyFont="1" applyFill="1">
      <alignment/>
      <protection/>
    </xf>
    <xf numFmtId="0" fontId="10" fillId="0" borderId="0" xfId="57" applyNumberFormat="1" applyFont="1" applyFill="1" applyAlignment="1">
      <alignment horizontal="left" vertical="center"/>
      <protection/>
    </xf>
    <xf numFmtId="0" fontId="10" fillId="0" borderId="0" xfId="57" applyFont="1" applyFill="1" applyAlignment="1">
      <alignment horizontal="center" vertical="center"/>
      <protection/>
    </xf>
    <xf numFmtId="0" fontId="10" fillId="0" borderId="0" xfId="57" applyFont="1" applyFill="1" applyAlignment="1">
      <alignment horizontal="left" vertical="center" wrapText="1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49" fontId="12" fillId="0" borderId="10" xfId="57" applyNumberFormat="1" applyFont="1" applyFill="1" applyBorder="1" applyAlignment="1">
      <alignment horizontal="center" vertical="center" wrapText="1"/>
      <protection/>
    </xf>
    <xf numFmtId="0" fontId="10" fillId="0" borderId="0" xfId="57" applyFont="1" applyFill="1" applyAlignment="1">
      <alignment vertical="center" wrapText="1"/>
      <protection/>
    </xf>
    <xf numFmtId="0" fontId="10" fillId="0" borderId="0" xfId="0" applyFont="1" applyFill="1" applyAlignment="1">
      <alignment horizontal="right"/>
    </xf>
    <xf numFmtId="172" fontId="10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 vertical="center"/>
    </xf>
    <xf numFmtId="172" fontId="0" fillId="0" borderId="0" xfId="0" applyNumberFormat="1" applyFont="1" applyFill="1" applyAlignment="1">
      <alignment vertical="center"/>
    </xf>
    <xf numFmtId="172" fontId="10" fillId="0" borderId="0" xfId="53" applyNumberFormat="1" applyFont="1" applyFill="1" applyAlignment="1">
      <alignment horizontal="center" vertical="center"/>
      <protection/>
    </xf>
    <xf numFmtId="0" fontId="12" fillId="0" borderId="10" xfId="53" applyFont="1" applyFill="1" applyBorder="1" applyAlignment="1">
      <alignment horizontal="left" vertical="center"/>
      <protection/>
    </xf>
    <xf numFmtId="172" fontId="12" fillId="0" borderId="10" xfId="53" applyNumberFormat="1" applyFont="1" applyFill="1" applyBorder="1" applyAlignment="1">
      <alignment vertical="center"/>
      <protection/>
    </xf>
    <xf numFmtId="172" fontId="10" fillId="0" borderId="10" xfId="53" applyNumberFormat="1" applyFont="1" applyFill="1" applyBorder="1" applyAlignment="1">
      <alignment vertical="center"/>
      <protection/>
    </xf>
    <xf numFmtId="172" fontId="10" fillId="0" borderId="0" xfId="68" applyNumberFormat="1" applyFont="1" applyFill="1" applyAlignment="1">
      <alignment horizontal="center" vertical="center"/>
    </xf>
    <xf numFmtId="43" fontId="10" fillId="0" borderId="0" xfId="68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8" fillId="0" borderId="0" xfId="53" applyFont="1" applyFill="1" applyAlignment="1">
      <alignment horizontal="center" vertical="center"/>
      <protection/>
    </xf>
    <xf numFmtId="0" fontId="18" fillId="0" borderId="0" xfId="53" applyFont="1" applyFill="1" applyAlignment="1">
      <alignment vertical="center" wrapText="1"/>
      <protection/>
    </xf>
    <xf numFmtId="172" fontId="17" fillId="0" borderId="0" xfId="68" applyNumberFormat="1" applyFont="1" applyFill="1" applyAlignment="1">
      <alignment vertical="center"/>
    </xf>
    <xf numFmtId="0" fontId="10" fillId="0" borderId="0" xfId="53" applyFont="1" applyFill="1" applyBorder="1" applyAlignment="1">
      <alignment horizontal="center" vertical="center"/>
      <protection/>
    </xf>
    <xf numFmtId="0" fontId="10" fillId="0" borderId="0" xfId="53" applyFont="1" applyFill="1" applyBorder="1" applyAlignment="1">
      <alignment vertical="center" wrapText="1"/>
      <protection/>
    </xf>
    <xf numFmtId="0" fontId="10" fillId="0" borderId="0" xfId="53" applyFont="1" applyFill="1" applyBorder="1" applyAlignment="1">
      <alignment vertical="center"/>
      <protection/>
    </xf>
    <xf numFmtId="172" fontId="18" fillId="0" borderId="20" xfId="68" applyNumberFormat="1" applyFont="1" applyFill="1" applyBorder="1" applyAlignment="1">
      <alignment horizontal="center" vertical="center"/>
    </xf>
    <xf numFmtId="172" fontId="18" fillId="0" borderId="0" xfId="68" applyNumberFormat="1" applyFont="1" applyFill="1" applyBorder="1" applyAlignment="1">
      <alignment horizontal="center" vertical="center"/>
    </xf>
    <xf numFmtId="43" fontId="18" fillId="0" borderId="0" xfId="68" applyFont="1" applyFill="1" applyBorder="1" applyAlignment="1">
      <alignment horizontal="center" vertical="center"/>
    </xf>
    <xf numFmtId="0" fontId="10" fillId="0" borderId="10" xfId="53" applyFont="1" applyFill="1" applyBorder="1" applyAlignment="1">
      <alignment horizontal="center" vertical="center" wrapText="1"/>
      <protection/>
    </xf>
    <xf numFmtId="0" fontId="17" fillId="0" borderId="13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7" fillId="0" borderId="10" xfId="53" applyFont="1" applyFill="1" applyBorder="1" applyAlignment="1">
      <alignment horizontal="left" vertical="top" wrapText="1"/>
      <protection/>
    </xf>
    <xf numFmtId="172" fontId="14" fillId="0" borderId="10" xfId="53" applyNumberFormat="1" applyFont="1" applyFill="1" applyBorder="1" applyAlignment="1">
      <alignment horizontal="center" vertical="top" wrapText="1"/>
      <protection/>
    </xf>
    <xf numFmtId="172" fontId="17" fillId="0" borderId="10" xfId="53" applyNumberFormat="1" applyFont="1" applyFill="1" applyBorder="1" applyAlignment="1">
      <alignment horizontal="left" vertical="top" wrapText="1"/>
      <protection/>
    </xf>
    <xf numFmtId="172" fontId="17" fillId="0" borderId="10" xfId="53" applyNumberFormat="1" applyFont="1" applyFill="1" applyBorder="1" applyAlignment="1">
      <alignment horizontal="center" vertical="top" wrapText="1"/>
      <protection/>
    </xf>
    <xf numFmtId="0" fontId="10" fillId="0" borderId="10" xfId="53" applyFont="1" applyFill="1" applyBorder="1" applyAlignment="1">
      <alignment vertical="top" wrapText="1"/>
      <protection/>
    </xf>
    <xf numFmtId="0" fontId="10" fillId="0" borderId="10" xfId="53" applyFont="1" applyFill="1" applyBorder="1" applyAlignment="1">
      <alignment horizontal="center" vertical="top" wrapText="1"/>
      <protection/>
    </xf>
    <xf numFmtId="172" fontId="14" fillId="0" borderId="13" xfId="53" applyNumberFormat="1" applyFont="1" applyFill="1" applyBorder="1" applyAlignment="1">
      <alignment horizontal="center" vertical="center" wrapText="1"/>
      <protection/>
    </xf>
    <xf numFmtId="172" fontId="10" fillId="0" borderId="13" xfId="53" applyNumberFormat="1" applyFont="1" applyFill="1" applyBorder="1" applyAlignment="1">
      <alignment horizontal="center" vertical="center"/>
      <protection/>
    </xf>
    <xf numFmtId="172" fontId="10" fillId="0" borderId="10" xfId="53" applyNumberFormat="1" applyFont="1" applyFill="1" applyBorder="1" applyAlignment="1">
      <alignment horizontal="center" vertical="top"/>
      <protection/>
    </xf>
    <xf numFmtId="172" fontId="10" fillId="0" borderId="13" xfId="53" applyNumberFormat="1" applyFont="1" applyFill="1" applyBorder="1" applyAlignment="1">
      <alignment horizontal="center" vertical="top"/>
      <protection/>
    </xf>
    <xf numFmtId="0" fontId="10" fillId="0" borderId="11" xfId="53" applyFont="1" applyFill="1" applyBorder="1" applyAlignment="1">
      <alignment vertical="top" wrapText="1"/>
      <protection/>
    </xf>
    <xf numFmtId="0" fontId="17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 applyAlignment="1">
      <alignment horizontal="center" vertical="top" wrapText="1"/>
      <protection/>
    </xf>
    <xf numFmtId="172" fontId="12" fillId="0" borderId="10" xfId="53" applyNumberFormat="1" applyFont="1" applyFill="1" applyBorder="1" applyAlignment="1">
      <alignment horizontal="center" vertical="top"/>
      <protection/>
    </xf>
    <xf numFmtId="0" fontId="22" fillId="0" borderId="10" xfId="53" applyFont="1" applyFill="1" applyBorder="1" applyAlignment="1">
      <alignment horizontal="center" vertical="top" wrapText="1"/>
      <protection/>
    </xf>
    <xf numFmtId="172" fontId="22" fillId="0" borderId="10" xfId="53" applyNumberFormat="1" applyFont="1" applyFill="1" applyBorder="1" applyAlignment="1">
      <alignment horizontal="center" vertical="center" wrapText="1"/>
      <protection/>
    </xf>
    <xf numFmtId="172" fontId="10" fillId="0" borderId="10" xfId="53" applyNumberFormat="1" applyFont="1" applyFill="1" applyBorder="1" applyAlignment="1">
      <alignment horizontal="center" vertical="center" wrapText="1"/>
      <protection/>
    </xf>
    <xf numFmtId="172" fontId="10" fillId="0" borderId="13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top" wrapText="1"/>
      <protection/>
    </xf>
    <xf numFmtId="0" fontId="14" fillId="0" borderId="10" xfId="53" applyFont="1" applyFill="1" applyBorder="1" applyAlignment="1">
      <alignment vertical="top" wrapText="1"/>
      <protection/>
    </xf>
    <xf numFmtId="172" fontId="12" fillId="0" borderId="13" xfId="68" applyNumberFormat="1" applyFont="1" applyFill="1" applyBorder="1" applyAlignment="1">
      <alignment horizontal="center" vertical="top"/>
    </xf>
    <xf numFmtId="0" fontId="10" fillId="0" borderId="13" xfId="53" applyFont="1" applyFill="1" applyBorder="1" applyAlignment="1">
      <alignment horizontal="center" vertical="center" wrapText="1"/>
      <protection/>
    </xf>
    <xf numFmtId="0" fontId="12" fillId="0" borderId="23" xfId="53" applyFont="1" applyFill="1" applyBorder="1" applyAlignment="1">
      <alignment vertical="top" wrapText="1"/>
      <protection/>
    </xf>
    <xf numFmtId="0" fontId="10" fillId="0" borderId="23" xfId="53" applyFont="1" applyFill="1" applyBorder="1" applyAlignment="1">
      <alignment horizontal="center" vertical="top" wrapText="1"/>
      <protection/>
    </xf>
    <xf numFmtId="172" fontId="12" fillId="0" borderId="10" xfId="68" applyNumberFormat="1" applyFont="1" applyFill="1" applyBorder="1" applyAlignment="1">
      <alignment horizontal="center" vertical="top"/>
    </xf>
    <xf numFmtId="172" fontId="10" fillId="0" borderId="10" xfId="53" applyNumberFormat="1" applyFont="1" applyFill="1" applyBorder="1" applyAlignment="1">
      <alignment horizontal="center" vertical="top" wrapText="1"/>
      <protection/>
    </xf>
    <xf numFmtId="172" fontId="10" fillId="0" borderId="13" xfId="53" applyNumberFormat="1" applyFont="1" applyFill="1" applyBorder="1" applyAlignment="1">
      <alignment horizontal="center" vertical="top" wrapText="1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172" fontId="23" fillId="0" borderId="13" xfId="53" applyNumberFormat="1" applyFont="1" applyFill="1" applyBorder="1" applyAlignment="1">
      <alignment horizontal="center" vertical="top" wrapText="1"/>
      <protection/>
    </xf>
    <xf numFmtId="172" fontId="12" fillId="0" borderId="10" xfId="53" applyNumberFormat="1" applyFont="1" applyFill="1" applyBorder="1" applyAlignment="1">
      <alignment horizontal="center" vertical="top" wrapText="1"/>
      <protection/>
    </xf>
    <xf numFmtId="172" fontId="12" fillId="0" borderId="13" xfId="53" applyNumberFormat="1" applyFont="1" applyFill="1" applyBorder="1" applyAlignment="1">
      <alignment horizontal="center" vertical="top" wrapText="1"/>
      <protection/>
    </xf>
    <xf numFmtId="0" fontId="20" fillId="0" borderId="0" xfId="53" applyFont="1" applyFill="1" applyAlignment="1">
      <alignment horizontal="center" vertical="center"/>
      <protection/>
    </xf>
    <xf numFmtId="0" fontId="14" fillId="0" borderId="13" xfId="53" applyFont="1" applyFill="1" applyBorder="1" applyAlignment="1">
      <alignment vertical="top" wrapText="1"/>
      <protection/>
    </xf>
    <xf numFmtId="0" fontId="17" fillId="0" borderId="10" xfId="53" applyFont="1" applyFill="1" applyBorder="1" applyAlignment="1">
      <alignment horizontal="left" vertical="center" wrapText="1"/>
      <protection/>
    </xf>
    <xf numFmtId="172" fontId="18" fillId="0" borderId="0" xfId="68" applyNumberFormat="1" applyFont="1" applyFill="1" applyAlignment="1">
      <alignment horizontal="center" vertical="center"/>
    </xf>
    <xf numFmtId="43" fontId="18" fillId="0" borderId="0" xfId="68" applyFont="1" applyFill="1" applyAlignment="1">
      <alignment horizontal="center" vertical="center"/>
    </xf>
    <xf numFmtId="0" fontId="10" fillId="0" borderId="0" xfId="55" applyFont="1" applyFill="1" applyAlignment="1">
      <alignment vertical="top"/>
      <protection/>
    </xf>
    <xf numFmtId="43" fontId="14" fillId="0" borderId="0" xfId="69" applyFont="1" applyFill="1" applyAlignment="1">
      <alignment horizontal="center" vertical="center"/>
    </xf>
    <xf numFmtId="43" fontId="14" fillId="0" borderId="0" xfId="69" applyFont="1" applyFill="1" applyAlignment="1">
      <alignment horizontal="right" vertical="center"/>
    </xf>
    <xf numFmtId="0" fontId="10" fillId="0" borderId="0" xfId="55" applyFont="1" applyFill="1" applyBorder="1" applyAlignment="1">
      <alignment vertical="top"/>
      <protection/>
    </xf>
    <xf numFmtId="0" fontId="10" fillId="0" borderId="0" xfId="58" applyFont="1" applyFill="1" applyAlignment="1">
      <alignment horizontal="center" vertical="center"/>
      <protection/>
    </xf>
    <xf numFmtId="0" fontId="10" fillId="0" borderId="0" xfId="55" applyFont="1" applyFill="1" applyAlignment="1">
      <alignment horizontal="center" vertical="center"/>
      <protection/>
    </xf>
    <xf numFmtId="0" fontId="10" fillId="0" borderId="0" xfId="55" applyFont="1" applyFill="1" applyAlignment="1">
      <alignment wrapText="1"/>
      <protection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/>
    </xf>
    <xf numFmtId="172" fontId="22" fillId="0" borderId="13" xfId="53" applyNumberFormat="1" applyFont="1" applyFill="1" applyBorder="1" applyAlignment="1">
      <alignment horizontal="center" vertical="center" wrapText="1"/>
      <protection/>
    </xf>
    <xf numFmtId="172" fontId="12" fillId="0" borderId="10" xfId="68" applyNumberFormat="1" applyFont="1" applyFill="1" applyBorder="1" applyAlignment="1">
      <alignment horizontal="center" vertical="center" wrapText="1"/>
    </xf>
    <xf numFmtId="43" fontId="10" fillId="0" borderId="10" xfId="66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78" fillId="0" borderId="0" xfId="0" applyFont="1" applyFill="1" applyAlignment="1">
      <alignment horizontal="right"/>
    </xf>
    <xf numFmtId="172" fontId="12" fillId="0" borderId="10" xfId="69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63" fillId="0" borderId="10" xfId="0" applyFont="1" applyBorder="1" applyAlignment="1">
      <alignment vertical="center"/>
    </xf>
    <xf numFmtId="172" fontId="17" fillId="0" borderId="10" xfId="57" applyNumberFormat="1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vertical="top" wrapText="1"/>
    </xf>
    <xf numFmtId="1" fontId="10" fillId="0" borderId="0" xfId="69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172" fontId="10" fillId="0" borderId="0" xfId="69" applyNumberFormat="1" applyFont="1" applyFill="1" applyAlignment="1">
      <alignment horizontal="center" vertical="center"/>
    </xf>
    <xf numFmtId="1" fontId="10" fillId="0" borderId="0" xfId="53" applyNumberFormat="1" applyFont="1" applyFill="1" applyAlignment="1">
      <alignment horizontal="center" vertical="center"/>
      <protection/>
    </xf>
    <xf numFmtId="1" fontId="10" fillId="0" borderId="0" xfId="57" applyNumberFormat="1" applyFont="1" applyFill="1" applyAlignment="1">
      <alignment horizontal="center" vertical="center"/>
      <protection/>
    </xf>
    <xf numFmtId="1" fontId="12" fillId="0" borderId="10" xfId="69" applyNumberFormat="1" applyFont="1" applyFill="1" applyBorder="1" applyAlignment="1">
      <alignment horizontal="center" vertical="center" wrapText="1"/>
    </xf>
    <xf numFmtId="172" fontId="12" fillId="0" borderId="10" xfId="69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1" fontId="10" fillId="0" borderId="10" xfId="69" applyNumberFormat="1" applyFont="1" applyFill="1" applyBorder="1" applyAlignment="1">
      <alignment horizontal="center" vertical="center" wrapText="1"/>
    </xf>
    <xf numFmtId="172" fontId="10" fillId="0" borderId="10" xfId="69" applyNumberFormat="1" applyFont="1" applyFill="1" applyBorder="1" applyAlignment="1">
      <alignment horizontal="right" vertical="center" wrapText="1"/>
    </xf>
    <xf numFmtId="172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left"/>
    </xf>
    <xf numFmtId="1" fontId="10" fillId="0" borderId="10" xfId="69" applyNumberFormat="1" applyFont="1" applyFill="1" applyBorder="1" applyAlignment="1">
      <alignment horizontal="center" vertical="center"/>
    </xf>
    <xf numFmtId="172" fontId="10" fillId="0" borderId="10" xfId="69" applyNumberFormat="1" applyFont="1" applyFill="1" applyBorder="1" applyAlignment="1">
      <alignment horizontal="center" vertical="center"/>
    </xf>
    <xf numFmtId="172" fontId="10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top"/>
    </xf>
    <xf numFmtId="1" fontId="12" fillId="0" borderId="10" xfId="69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53" applyFont="1" applyFill="1" applyBorder="1" applyAlignment="1">
      <alignment vertical="top"/>
      <protection/>
    </xf>
    <xf numFmtId="43" fontId="12" fillId="0" borderId="10" xfId="69" applyFont="1" applyFill="1" applyBorder="1" applyAlignment="1">
      <alignment horizontal="center" vertical="center"/>
    </xf>
    <xf numFmtId="43" fontId="10" fillId="0" borderId="10" xfId="69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74" fontId="10" fillId="0" borderId="10" xfId="0" applyNumberFormat="1" applyFont="1" applyFill="1" applyBorder="1" applyAlignment="1">
      <alignment vertical="top" wrapText="1"/>
    </xf>
    <xf numFmtId="172" fontId="10" fillId="0" borderId="0" xfId="0" applyNumberFormat="1" applyFont="1" applyFill="1" applyAlignment="1">
      <alignment/>
    </xf>
    <xf numFmtId="49" fontId="12" fillId="0" borderId="10" xfId="53" applyNumberFormat="1" applyFont="1" applyFill="1" applyBorder="1" applyAlignment="1">
      <alignment horizontal="left" vertical="center" wrapText="1"/>
      <protection/>
    </xf>
    <xf numFmtId="49" fontId="10" fillId="0" borderId="10" xfId="53" applyNumberFormat="1" applyFont="1" applyFill="1" applyBorder="1" applyAlignment="1">
      <alignment horizontal="left" vertical="center" wrapText="1"/>
      <protection/>
    </xf>
    <xf numFmtId="172" fontId="12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/>
    </xf>
    <xf numFmtId="174" fontId="12" fillId="0" borderId="10" xfId="0" applyNumberFormat="1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vertical="top" wrapText="1"/>
    </xf>
    <xf numFmtId="49" fontId="12" fillId="0" borderId="10" xfId="56" applyNumberFormat="1" applyFont="1" applyFill="1" applyBorder="1" applyAlignment="1">
      <alignment horizontal="left" vertical="center" wrapText="1"/>
      <protection/>
    </xf>
    <xf numFmtId="172" fontId="10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172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/>
    </xf>
    <xf numFmtId="172" fontId="17" fillId="0" borderId="10" xfId="0" applyNumberFormat="1" applyFont="1" applyFill="1" applyBorder="1" applyAlignment="1">
      <alignment horizontal="center"/>
    </xf>
    <xf numFmtId="49" fontId="12" fillId="0" borderId="13" xfId="53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11" fillId="0" borderId="13" xfId="53" applyNumberFormat="1" applyFont="1" applyFill="1" applyBorder="1" applyAlignment="1">
      <alignment horizontal="center" vertical="center" wrapText="1"/>
      <protection/>
    </xf>
    <xf numFmtId="1" fontId="3" fillId="0" borderId="10" xfId="69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72" fontId="10" fillId="0" borderId="0" xfId="0" applyNumberFormat="1" applyFont="1" applyFill="1" applyAlignment="1">
      <alignment horizontal="right" vertical="center"/>
    </xf>
    <xf numFmtId="172" fontId="14" fillId="0" borderId="0" xfId="0" applyNumberFormat="1" applyFont="1" applyFill="1" applyAlignment="1">
      <alignment/>
    </xf>
    <xf numFmtId="172" fontId="14" fillId="0" borderId="1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/>
    </xf>
    <xf numFmtId="172" fontId="3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/>
    </xf>
    <xf numFmtId="2" fontId="25" fillId="0" borderId="0" xfId="0" applyNumberFormat="1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/>
    </xf>
    <xf numFmtId="2" fontId="19" fillId="0" borderId="1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left" vertical="top" wrapText="1"/>
    </xf>
    <xf numFmtId="0" fontId="14" fillId="0" borderId="23" xfId="53" applyFont="1" applyFill="1" applyBorder="1" applyAlignment="1">
      <alignment horizontal="left" vertical="top" wrapText="1"/>
      <protection/>
    </xf>
    <xf numFmtId="0" fontId="14" fillId="0" borderId="15" xfId="53" applyFont="1" applyFill="1" applyBorder="1" applyAlignment="1">
      <alignment horizontal="left" vertical="top" wrapText="1"/>
      <protection/>
    </xf>
    <xf numFmtId="43" fontId="14" fillId="0" borderId="0" xfId="68" applyFont="1" applyFill="1" applyAlignment="1">
      <alignment vertical="center"/>
    </xf>
    <xf numFmtId="0" fontId="0" fillId="0" borderId="15" xfId="0" applyFont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22" fillId="0" borderId="13" xfId="53" applyFont="1" applyFill="1" applyBorder="1" applyAlignment="1">
      <alignment horizontal="left" vertical="top" wrapText="1"/>
      <protection/>
    </xf>
    <xf numFmtId="172" fontId="23" fillId="0" borderId="10" xfId="53" applyNumberFormat="1" applyFont="1" applyFill="1" applyBorder="1" applyAlignment="1">
      <alignment horizontal="center" vertical="center" wrapText="1"/>
      <protection/>
    </xf>
    <xf numFmtId="172" fontId="23" fillId="0" borderId="13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172" fontId="50" fillId="0" borderId="0" xfId="0" applyNumberFormat="1" applyFont="1" applyFill="1" applyAlignment="1">
      <alignment horizontal="right"/>
    </xf>
    <xf numFmtId="0" fontId="0" fillId="0" borderId="2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12" fillId="0" borderId="10" xfId="5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8" fillId="0" borderId="0" xfId="53" applyFont="1" applyFill="1" applyAlignment="1">
      <alignment horizontal="center" vertical="center" wrapText="1"/>
      <protection/>
    </xf>
    <xf numFmtId="0" fontId="73" fillId="0" borderId="0" xfId="0" applyFont="1" applyFill="1" applyAlignment="1">
      <alignment vertical="center"/>
    </xf>
    <xf numFmtId="172" fontId="12" fillId="0" borderId="13" xfId="53" applyNumberFormat="1" applyFont="1" applyFill="1" applyBorder="1" applyAlignment="1">
      <alignment horizontal="center" vertical="center"/>
      <protection/>
    </xf>
    <xf numFmtId="172" fontId="12" fillId="0" borderId="23" xfId="53" applyNumberFormat="1" applyFont="1" applyFill="1" applyBorder="1" applyAlignment="1">
      <alignment horizontal="center" vertical="center"/>
      <protection/>
    </xf>
    <xf numFmtId="172" fontId="12" fillId="0" borderId="15" xfId="53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 vertical="center" wrapText="1"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172" fontId="12" fillId="0" borderId="16" xfId="53" applyNumberFormat="1" applyFont="1" applyFill="1" applyBorder="1" applyAlignment="1">
      <alignment horizontal="center" vertical="center" wrapText="1"/>
      <protection/>
    </xf>
    <xf numFmtId="172" fontId="12" fillId="0" borderId="17" xfId="53" applyNumberFormat="1" applyFont="1" applyFill="1" applyBorder="1" applyAlignment="1">
      <alignment horizontal="center" vertical="center" wrapText="1"/>
      <protection/>
    </xf>
    <xf numFmtId="172" fontId="12" fillId="0" borderId="18" xfId="53" applyNumberFormat="1" applyFont="1" applyFill="1" applyBorder="1" applyAlignment="1">
      <alignment horizontal="center" vertical="center" wrapText="1"/>
      <protection/>
    </xf>
    <xf numFmtId="172" fontId="12" fillId="0" borderId="14" xfId="53" applyNumberFormat="1" applyFont="1" applyFill="1" applyBorder="1" applyAlignment="1">
      <alignment horizontal="center" vertical="center" wrapText="1"/>
      <protection/>
    </xf>
    <xf numFmtId="172" fontId="12" fillId="0" borderId="20" xfId="53" applyNumberFormat="1" applyFont="1" applyFill="1" applyBorder="1" applyAlignment="1">
      <alignment horizontal="center" vertical="center" wrapText="1"/>
      <protection/>
    </xf>
    <xf numFmtId="172" fontId="12" fillId="0" borderId="25" xfId="53" applyNumberFormat="1" applyFont="1" applyFill="1" applyBorder="1" applyAlignment="1">
      <alignment horizontal="center" vertical="center" wrapText="1"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0" fontId="0" fillId="0" borderId="24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4" fillId="0" borderId="11" xfId="53" applyFont="1" applyFill="1" applyBorder="1" applyAlignment="1">
      <alignment horizontal="center" vertical="center"/>
      <protection/>
    </xf>
    <xf numFmtId="0" fontId="0" fillId="0" borderId="2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0" fillId="0" borderId="11" xfId="53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8" fillId="0" borderId="0" xfId="53" applyFont="1" applyFill="1" applyAlignment="1">
      <alignment horizontal="center" vertical="top" wrapText="1"/>
      <protection/>
    </xf>
    <xf numFmtId="0" fontId="73" fillId="0" borderId="0" xfId="0" applyFont="1" applyFill="1" applyAlignment="1">
      <alignment horizontal="center" vertical="top" wrapText="1"/>
    </xf>
    <xf numFmtId="0" fontId="17" fillId="0" borderId="10" xfId="53" applyFont="1" applyFill="1" applyBorder="1" applyAlignment="1">
      <alignment horizontal="center" vertical="center" wrapText="1"/>
      <protection/>
    </xf>
    <xf numFmtId="49" fontId="17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center" vertical="center"/>
    </xf>
    <xf numFmtId="172" fontId="12" fillId="0" borderId="23" xfId="53" applyNumberFormat="1" applyFont="1" applyFill="1" applyBorder="1" applyAlignment="1">
      <alignment horizontal="center" vertical="center" wrapText="1"/>
      <protection/>
    </xf>
    <xf numFmtId="172" fontId="12" fillId="0" borderId="15" xfId="53" applyNumberFormat="1" applyFont="1" applyFill="1" applyBorder="1" applyAlignment="1">
      <alignment horizontal="center" vertical="center" wrapText="1"/>
      <protection/>
    </xf>
    <xf numFmtId="0" fontId="12" fillId="0" borderId="10" xfId="55" applyFont="1" applyFill="1" applyBorder="1" applyAlignment="1">
      <alignment horizontal="left" vertical="center" wrapText="1"/>
      <protection/>
    </xf>
    <xf numFmtId="0" fontId="8" fillId="0" borderId="0" xfId="57" applyFont="1" applyFill="1" applyAlignment="1">
      <alignment horizontal="center" vertical="center" wrapText="1"/>
      <protection/>
    </xf>
    <xf numFmtId="0" fontId="83" fillId="0" borderId="0" xfId="0" applyFont="1" applyFill="1" applyAlignment="1">
      <alignment/>
    </xf>
    <xf numFmtId="172" fontId="10" fillId="0" borderId="0" xfId="53" applyNumberFormat="1" applyFont="1" applyFill="1" applyAlignment="1">
      <alignment horizontal="right" vertical="center"/>
      <protection/>
    </xf>
    <xf numFmtId="172" fontId="12" fillId="0" borderId="10" xfId="69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0" fontId="0" fillId="0" borderId="23" xfId="0" applyFill="1" applyBorder="1" applyAlignment="1">
      <alignment wrapText="1"/>
    </xf>
    <xf numFmtId="0" fontId="0" fillId="0" borderId="15" xfId="0" applyFill="1" applyBorder="1" applyAlignment="1">
      <alignment wrapText="1"/>
    </xf>
    <xf numFmtId="49" fontId="10" fillId="0" borderId="13" xfId="56" applyNumberFormat="1" applyFont="1" applyFill="1" applyBorder="1" applyAlignment="1">
      <alignment horizontal="left" vertical="center" wrapText="1"/>
      <protection/>
    </xf>
    <xf numFmtId="0" fontId="0" fillId="0" borderId="23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49" fontId="12" fillId="0" borderId="13" xfId="56" applyNumberFormat="1" applyFont="1" applyFill="1" applyBorder="1" applyAlignment="1">
      <alignment horizontal="left" vertical="center" wrapText="1"/>
      <protection/>
    </xf>
    <xf numFmtId="49" fontId="12" fillId="0" borderId="16" xfId="53" applyNumberFormat="1" applyFont="1" applyFill="1" applyBorder="1" applyAlignment="1">
      <alignment horizontal="center" vertical="center" wrapText="1"/>
      <protection/>
    </xf>
    <xf numFmtId="49" fontId="12" fillId="0" borderId="17" xfId="53" applyNumberFormat="1" applyFont="1" applyFill="1" applyBorder="1" applyAlignment="1">
      <alignment horizontal="center" vertical="center" wrapText="1"/>
      <protection/>
    </xf>
    <xf numFmtId="49" fontId="12" fillId="0" borderId="18" xfId="53" applyNumberFormat="1" applyFont="1" applyFill="1" applyBorder="1" applyAlignment="1">
      <alignment horizontal="center" vertical="center" wrapText="1"/>
      <protection/>
    </xf>
    <xf numFmtId="172" fontId="3" fillId="0" borderId="0" xfId="0" applyNumberFormat="1" applyFont="1" applyFill="1" applyAlignment="1">
      <alignment horizontal="right"/>
    </xf>
    <xf numFmtId="172" fontId="50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12" fillId="0" borderId="0" xfId="53" applyFont="1" applyFill="1" applyAlignment="1">
      <alignment horizontal="center" vertical="center" wrapText="1"/>
      <protection/>
    </xf>
    <xf numFmtId="49" fontId="12" fillId="0" borderId="13" xfId="53" applyNumberFormat="1" applyFont="1" applyFill="1" applyBorder="1" applyAlignment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top" wrapText="1"/>
    </xf>
    <xf numFmtId="0" fontId="0" fillId="0" borderId="23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9" fillId="0" borderId="0" xfId="53" applyFont="1" applyFill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172" fontId="12" fillId="0" borderId="10" xfId="68" applyNumberFormat="1" applyFont="1" applyFill="1" applyBorder="1" applyAlignment="1">
      <alignment horizontal="center" vertical="center" wrapText="1"/>
    </xf>
    <xf numFmtId="172" fontId="12" fillId="0" borderId="11" xfId="68" applyNumberFormat="1" applyFont="1" applyFill="1" applyBorder="1" applyAlignment="1">
      <alignment horizontal="center" vertical="center" wrapText="1"/>
    </xf>
    <xf numFmtId="172" fontId="63" fillId="0" borderId="12" xfId="0" applyNumberFormat="1" applyFont="1" applyFill="1" applyBorder="1" applyAlignment="1">
      <alignment horizontal="center" vertical="center" wrapText="1"/>
    </xf>
    <xf numFmtId="172" fontId="12" fillId="0" borderId="13" xfId="68" applyNumberFormat="1" applyFont="1" applyFill="1" applyBorder="1" applyAlignment="1">
      <alignment horizontal="center" vertical="center" wrapText="1"/>
    </xf>
    <xf numFmtId="172" fontId="12" fillId="0" borderId="15" xfId="68" applyNumberFormat="1" applyFont="1" applyFill="1" applyBorder="1" applyAlignment="1">
      <alignment horizontal="center" vertical="center" wrapText="1"/>
    </xf>
    <xf numFmtId="0" fontId="10" fillId="0" borderId="16" xfId="53" applyFont="1" applyFill="1" applyBorder="1" applyAlignment="1">
      <alignment horizontal="center" vertical="center" wrapText="1"/>
      <protection/>
    </xf>
    <xf numFmtId="0" fontId="10" fillId="0" borderId="18" xfId="53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0" fontId="10" fillId="0" borderId="25" xfId="53" applyFont="1" applyFill="1" applyBorder="1" applyAlignment="1">
      <alignment horizontal="center" vertical="center" wrapText="1"/>
      <protection/>
    </xf>
    <xf numFmtId="0" fontId="17" fillId="0" borderId="13" xfId="53" applyFont="1" applyFill="1" applyBorder="1" applyAlignment="1">
      <alignment horizontal="center" vertical="top" wrapText="1"/>
      <protection/>
    </xf>
    <xf numFmtId="0" fontId="17" fillId="0" borderId="23" xfId="53" applyFont="1" applyFill="1" applyBorder="1" applyAlignment="1">
      <alignment horizontal="center" vertical="top" wrapText="1"/>
      <protection/>
    </xf>
    <xf numFmtId="0" fontId="17" fillId="0" borderId="15" xfId="53" applyFont="1" applyFill="1" applyBorder="1" applyAlignment="1">
      <alignment horizontal="center" vertical="top" wrapText="1"/>
      <protection/>
    </xf>
    <xf numFmtId="0" fontId="14" fillId="0" borderId="23" xfId="53" applyFont="1" applyFill="1" applyBorder="1" applyAlignment="1">
      <alignment horizontal="left" vertical="top" wrapText="1"/>
      <protection/>
    </xf>
    <xf numFmtId="0" fontId="14" fillId="0" borderId="15" xfId="53" applyFont="1" applyFill="1" applyBorder="1" applyAlignment="1">
      <alignment horizontal="left" vertical="top" wrapText="1"/>
      <protection/>
    </xf>
    <xf numFmtId="0" fontId="17" fillId="0" borderId="13" xfId="53" applyFont="1" applyFill="1" applyBorder="1" applyAlignment="1">
      <alignment horizontal="center" vertical="center" wrapText="1"/>
      <protection/>
    </xf>
    <xf numFmtId="0" fontId="17" fillId="0" borderId="23" xfId="53" applyFont="1" applyFill="1" applyBorder="1" applyAlignment="1">
      <alignment horizontal="center" vertical="center" wrapText="1"/>
      <protection/>
    </xf>
    <xf numFmtId="0" fontId="17" fillId="0" borderId="15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23" xfId="53" applyFont="1" applyFill="1" applyBorder="1" applyAlignment="1">
      <alignment horizontal="center" vertical="center" wrapText="1"/>
      <protection/>
    </xf>
    <xf numFmtId="0" fontId="21" fillId="0" borderId="15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left" vertical="top" wrapText="1"/>
      <protection/>
    </xf>
    <xf numFmtId="0" fontId="10" fillId="0" borderId="15" xfId="53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10" fillId="0" borderId="13" xfId="53" applyFont="1" applyFill="1" applyBorder="1" applyAlignment="1">
      <alignment vertical="center" wrapText="1"/>
      <protection/>
    </xf>
    <xf numFmtId="0" fontId="0" fillId="0" borderId="15" xfId="0" applyBorder="1" applyAlignment="1">
      <alignment wrapText="1"/>
    </xf>
    <xf numFmtId="0" fontId="22" fillId="0" borderId="13" xfId="53" applyFont="1" applyFill="1" applyBorder="1" applyAlignment="1">
      <alignment horizontal="left" vertical="top" wrapText="1"/>
      <protection/>
    </xf>
    <xf numFmtId="0" fontId="0" fillId="0" borderId="15" xfId="0" applyBorder="1" applyAlignment="1">
      <alignment horizontal="left" vertical="top" wrapText="1"/>
    </xf>
    <xf numFmtId="172" fontId="10" fillId="0" borderId="13" xfId="53" applyNumberFormat="1" applyFont="1" applyFill="1" applyBorder="1" applyAlignment="1">
      <alignment horizontal="center" vertical="top"/>
      <protection/>
    </xf>
    <xf numFmtId="172" fontId="10" fillId="0" borderId="15" xfId="53" applyNumberFormat="1" applyFont="1" applyFill="1" applyBorder="1" applyAlignment="1">
      <alignment horizontal="center" vertical="top"/>
      <protection/>
    </xf>
    <xf numFmtId="0" fontId="22" fillId="0" borderId="13" xfId="53" applyFont="1" applyFill="1" applyBorder="1" applyAlignment="1">
      <alignment horizontal="center" vertical="top" wrapText="1"/>
      <protection/>
    </xf>
    <xf numFmtId="0" fontId="22" fillId="0" borderId="23" xfId="53" applyFont="1" applyFill="1" applyBorder="1" applyAlignment="1">
      <alignment horizontal="center" vertical="top" wrapText="1"/>
      <protection/>
    </xf>
    <xf numFmtId="0" fontId="22" fillId="0" borderId="15" xfId="53" applyFont="1" applyFill="1" applyBorder="1" applyAlignment="1">
      <alignment horizontal="center" vertical="top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vertical="center" wrapText="1"/>
      <protection/>
    </xf>
    <xf numFmtId="0" fontId="10" fillId="0" borderId="12" xfId="53" applyFont="1" applyFill="1" applyBorder="1" applyAlignment="1">
      <alignment vertical="center" wrapText="1"/>
      <protection/>
    </xf>
    <xf numFmtId="172" fontId="10" fillId="0" borderId="13" xfId="53" applyNumberFormat="1" applyFont="1" applyFill="1" applyBorder="1" applyAlignment="1">
      <alignment horizontal="left" vertical="top"/>
      <protection/>
    </xf>
    <xf numFmtId="172" fontId="10" fillId="0" borderId="15" xfId="53" applyNumberFormat="1" applyFont="1" applyFill="1" applyBorder="1" applyAlignment="1">
      <alignment horizontal="left" vertical="top"/>
      <protection/>
    </xf>
    <xf numFmtId="0" fontId="22" fillId="0" borderId="15" xfId="53" applyFont="1" applyFill="1" applyBorder="1" applyAlignment="1">
      <alignment horizontal="left" vertical="top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10" fillId="0" borderId="13" xfId="68" applyNumberFormat="1" applyFont="1" applyFill="1" applyBorder="1" applyAlignment="1">
      <alignment horizontal="center" vertical="top"/>
    </xf>
    <xf numFmtId="0" fontId="10" fillId="0" borderId="15" xfId="68" applyNumberFormat="1" applyFont="1" applyFill="1" applyBorder="1" applyAlignment="1">
      <alignment horizontal="center" vertical="top"/>
    </xf>
    <xf numFmtId="172" fontId="10" fillId="0" borderId="13" xfId="68" applyNumberFormat="1" applyFont="1" applyFill="1" applyBorder="1" applyAlignment="1">
      <alignment horizontal="center" vertical="top"/>
    </xf>
    <xf numFmtId="172" fontId="10" fillId="0" borderId="15" xfId="68" applyNumberFormat="1" applyFont="1" applyFill="1" applyBorder="1" applyAlignment="1">
      <alignment horizontal="center" vertical="top"/>
    </xf>
    <xf numFmtId="0" fontId="10" fillId="0" borderId="13" xfId="53" applyFont="1" applyFill="1" applyBorder="1" applyAlignment="1">
      <alignment horizontal="left" vertical="center" wrapText="1"/>
      <protection/>
    </xf>
    <xf numFmtId="0" fontId="10" fillId="0" borderId="15" xfId="53" applyFont="1" applyFill="1" applyBorder="1" applyAlignment="1">
      <alignment horizontal="left" vertical="center" wrapText="1"/>
      <protection/>
    </xf>
    <xf numFmtId="0" fontId="14" fillId="0" borderId="13" xfId="53" applyFont="1" applyFill="1" applyBorder="1" applyAlignment="1">
      <alignment vertical="top" wrapText="1"/>
      <protection/>
    </xf>
    <xf numFmtId="0" fontId="0" fillId="0" borderId="15" xfId="0" applyFont="1" applyFill="1" applyBorder="1" applyAlignment="1">
      <alignment vertical="top" wrapText="1"/>
    </xf>
    <xf numFmtId="172" fontId="10" fillId="0" borderId="13" xfId="53" applyNumberFormat="1" applyFont="1" applyFill="1" applyBorder="1" applyAlignment="1">
      <alignment horizontal="center" vertical="center" wrapText="1"/>
      <protection/>
    </xf>
    <xf numFmtId="172" fontId="10" fillId="0" borderId="15" xfId="53" applyNumberFormat="1" applyFont="1" applyFill="1" applyBorder="1" applyAlignment="1">
      <alignment horizontal="center" vertical="center" wrapText="1"/>
      <protection/>
    </xf>
    <xf numFmtId="172" fontId="10" fillId="0" borderId="13" xfId="53" applyNumberFormat="1" applyFont="1" applyFill="1" applyBorder="1" applyAlignment="1">
      <alignment horizontal="center" vertical="top" wrapText="1"/>
      <protection/>
    </xf>
    <xf numFmtId="172" fontId="10" fillId="0" borderId="15" xfId="53" applyNumberFormat="1" applyFont="1" applyFill="1" applyBorder="1" applyAlignment="1">
      <alignment horizontal="center" vertical="top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84" fillId="0" borderId="15" xfId="0" applyFont="1" applyBorder="1" applyAlignment="1">
      <alignment horizontal="left" vertical="top" wrapText="1"/>
    </xf>
    <xf numFmtId="0" fontId="0" fillId="0" borderId="15" xfId="0" applyFont="1" applyBorder="1" applyAlignment="1">
      <alignment vertical="center" wrapText="1"/>
    </xf>
    <xf numFmtId="0" fontId="10" fillId="0" borderId="13" xfId="53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top" wrapText="1"/>
      <protection/>
    </xf>
    <xf numFmtId="0" fontId="21" fillId="0" borderId="23" xfId="53" applyFont="1" applyFill="1" applyBorder="1" applyAlignment="1">
      <alignment horizontal="center" vertical="top" wrapText="1"/>
      <protection/>
    </xf>
    <xf numFmtId="0" fontId="21" fillId="0" borderId="15" xfId="53" applyFont="1" applyFill="1" applyBorder="1" applyAlignment="1">
      <alignment horizontal="center" vertical="top" wrapText="1"/>
      <protection/>
    </xf>
    <xf numFmtId="0" fontId="8" fillId="0" borderId="0" xfId="58" applyFont="1" applyFill="1" applyBorder="1" applyAlignment="1">
      <alignment horizontal="center" vertical="top" wrapText="1"/>
      <protection/>
    </xf>
    <xf numFmtId="0" fontId="73" fillId="0" borderId="0" xfId="0" applyFont="1" applyFill="1" applyAlignment="1">
      <alignment wrapText="1"/>
    </xf>
    <xf numFmtId="0" fontId="73" fillId="0" borderId="0" xfId="0" applyFont="1" applyFill="1" applyAlignment="1">
      <alignment/>
    </xf>
    <xf numFmtId="0" fontId="12" fillId="0" borderId="11" xfId="55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wrapText="1"/>
    </xf>
    <xf numFmtId="0" fontId="12" fillId="0" borderId="13" xfId="58" applyFont="1" applyFill="1" applyBorder="1" applyAlignment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 wrapText="1"/>
    </xf>
    <xf numFmtId="172" fontId="10" fillId="0" borderId="0" xfId="0" applyNumberFormat="1" applyFont="1" applyFill="1" applyAlignment="1">
      <alignment horizontal="right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 2" xfId="57"/>
    <cellStyle name="Обычный_Приложение 20. Межбюджетка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4">
      <pane xSplit="2" ySplit="11" topLeftCell="C31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H8" sqref="H8"/>
    </sheetView>
  </sheetViews>
  <sheetFormatPr defaultColWidth="10.00390625" defaultRowHeight="15"/>
  <cols>
    <col min="1" max="1" width="25.28125" style="45" customWidth="1"/>
    <col min="2" max="2" width="55.57421875" style="45" customWidth="1"/>
    <col min="3" max="3" width="14.7109375" style="58" customWidth="1"/>
    <col min="4" max="4" width="10.7109375" style="58" customWidth="1"/>
    <col min="5" max="5" width="11.28125" style="58" customWidth="1"/>
    <col min="6" max="6" width="10.7109375" style="45" customWidth="1"/>
    <col min="7" max="7" width="10.00390625" style="45" customWidth="1"/>
    <col min="8" max="16384" width="10.00390625" style="45" customWidth="1"/>
  </cols>
  <sheetData>
    <row r="1" spans="2:8" s="1" customFormat="1" ht="15">
      <c r="B1" s="35"/>
      <c r="C1" s="40"/>
      <c r="D1" s="12"/>
      <c r="F1" s="25" t="s">
        <v>0</v>
      </c>
      <c r="H1" s="25"/>
    </row>
    <row r="2" spans="2:8" s="1" customFormat="1" ht="15">
      <c r="B2" s="32"/>
      <c r="C2" s="40"/>
      <c r="D2" s="12"/>
      <c r="F2" s="25" t="s">
        <v>1</v>
      </c>
      <c r="H2" s="25"/>
    </row>
    <row r="3" spans="2:8" s="1" customFormat="1" ht="15">
      <c r="B3" s="32"/>
      <c r="D3" s="12"/>
      <c r="F3" s="25" t="s">
        <v>2</v>
      </c>
      <c r="H3" s="25"/>
    </row>
    <row r="4" spans="2:8" s="1" customFormat="1" ht="15">
      <c r="B4" s="32"/>
      <c r="D4" s="12"/>
      <c r="F4" s="25" t="s">
        <v>0</v>
      </c>
      <c r="H4" s="25"/>
    </row>
    <row r="5" spans="2:8" s="1" customFormat="1" ht="15">
      <c r="B5" s="32"/>
      <c r="D5" s="12"/>
      <c r="F5" s="25" t="s">
        <v>1</v>
      </c>
      <c r="H5" s="25"/>
    </row>
    <row r="6" spans="2:8" s="1" customFormat="1" ht="15">
      <c r="B6" s="32"/>
      <c r="D6" s="12"/>
      <c r="F6" s="25" t="s">
        <v>2</v>
      </c>
      <c r="H6" s="25"/>
    </row>
    <row r="7" spans="2:8" s="1" customFormat="1" ht="15.75" customHeight="1">
      <c r="B7" s="32"/>
      <c r="C7" s="40"/>
      <c r="D7" s="12"/>
      <c r="F7" s="33" t="s">
        <v>809</v>
      </c>
      <c r="H7" s="33"/>
    </row>
    <row r="8" spans="2:8" s="1" customFormat="1" ht="15">
      <c r="B8" s="32"/>
      <c r="C8" s="40"/>
      <c r="D8" s="12"/>
      <c r="E8" s="32"/>
      <c r="F8" s="25" t="s">
        <v>860</v>
      </c>
      <c r="G8" s="32"/>
      <c r="H8" s="25"/>
    </row>
    <row r="9" spans="3:6" s="1" customFormat="1" ht="12.75">
      <c r="C9" s="12"/>
      <c r="D9" s="35"/>
      <c r="E9" s="32"/>
      <c r="F9" s="32"/>
    </row>
    <row r="10" spans="1:6" s="41" customFormat="1" ht="43.5" customHeight="1">
      <c r="A10" s="429" t="s">
        <v>746</v>
      </c>
      <c r="B10" s="429"/>
      <c r="C10" s="430"/>
      <c r="D10" s="430"/>
      <c r="E10" s="430"/>
      <c r="F10" s="430"/>
    </row>
    <row r="11" spans="1:6" s="41" customFormat="1" ht="14.25" customHeight="1">
      <c r="A11" s="24"/>
      <c r="B11" s="24"/>
      <c r="C11" s="42"/>
      <c r="D11" s="42"/>
      <c r="E11" s="42"/>
      <c r="F11" s="42"/>
    </row>
    <row r="12" spans="1:5" ht="12.75" customHeight="1">
      <c r="A12" s="43"/>
      <c r="B12" s="43"/>
      <c r="C12" s="44"/>
      <c r="D12" s="44"/>
      <c r="E12" s="44"/>
    </row>
    <row r="13" spans="1:7" s="41" customFormat="1" ht="63.75" customHeight="1">
      <c r="A13" s="427" t="s">
        <v>745</v>
      </c>
      <c r="B13" s="425" t="s">
        <v>715</v>
      </c>
      <c r="C13" s="431" t="s">
        <v>741</v>
      </c>
      <c r="D13" s="432"/>
      <c r="E13" s="432"/>
      <c r="F13" s="432"/>
      <c r="G13" s="433"/>
    </row>
    <row r="14" spans="1:7" s="41" customFormat="1" ht="45" customHeight="1">
      <c r="A14" s="428"/>
      <c r="B14" s="426"/>
      <c r="C14" s="46" t="s">
        <v>807</v>
      </c>
      <c r="D14" s="46" t="s">
        <v>859</v>
      </c>
      <c r="E14" s="47" t="s">
        <v>808</v>
      </c>
      <c r="F14" s="47" t="s">
        <v>742</v>
      </c>
      <c r="G14" s="47" t="s">
        <v>743</v>
      </c>
    </row>
    <row r="15" spans="1:7" s="15" customFormat="1" ht="33.75" customHeight="1">
      <c r="A15" s="10" t="s">
        <v>716</v>
      </c>
      <c r="B15" s="17" t="s">
        <v>717</v>
      </c>
      <c r="C15" s="27">
        <f>C16</f>
        <v>35000</v>
      </c>
      <c r="D15" s="27">
        <f>D16</f>
        <v>35000</v>
      </c>
      <c r="E15" s="27">
        <f aca="true" t="shared" si="0" ref="E15:E20">D15-C15</f>
        <v>0</v>
      </c>
      <c r="F15" s="27">
        <f>F16</f>
        <v>28500</v>
      </c>
      <c r="G15" s="27">
        <f>G16</f>
        <v>30000</v>
      </c>
    </row>
    <row r="16" spans="1:7" s="15" customFormat="1" ht="45" customHeight="1">
      <c r="A16" s="48" t="s">
        <v>718</v>
      </c>
      <c r="B16" s="6" t="s">
        <v>719</v>
      </c>
      <c r="C16" s="49">
        <f>36000-1000</f>
        <v>35000</v>
      </c>
      <c r="D16" s="49">
        <f>36000-1000</f>
        <v>35000</v>
      </c>
      <c r="E16" s="13">
        <f t="shared" si="0"/>
        <v>0</v>
      </c>
      <c r="F16" s="49">
        <v>28500</v>
      </c>
      <c r="G16" s="49">
        <v>30000</v>
      </c>
    </row>
    <row r="17" spans="1:7" s="16" customFormat="1" ht="37.5" customHeight="1">
      <c r="A17" s="10" t="s">
        <v>720</v>
      </c>
      <c r="B17" s="17" t="s">
        <v>721</v>
      </c>
      <c r="C17" s="27">
        <f>C18+C19</f>
        <v>0</v>
      </c>
      <c r="D17" s="27">
        <f>D18+D19</f>
        <v>0</v>
      </c>
      <c r="E17" s="27">
        <f t="shared" si="0"/>
        <v>0</v>
      </c>
      <c r="F17" s="27">
        <f>F18+F19</f>
        <v>0</v>
      </c>
      <c r="G17" s="27">
        <f>G18+G19</f>
        <v>0</v>
      </c>
    </row>
    <row r="18" spans="1:7" s="16" customFormat="1" ht="49.5" customHeight="1">
      <c r="A18" s="48" t="s">
        <v>722</v>
      </c>
      <c r="B18" s="6" t="s">
        <v>723</v>
      </c>
      <c r="C18" s="49">
        <v>30000</v>
      </c>
      <c r="D18" s="49">
        <v>30000</v>
      </c>
      <c r="E18" s="13">
        <f t="shared" si="0"/>
        <v>0</v>
      </c>
      <c r="F18" s="49">
        <v>30000</v>
      </c>
      <c r="G18" s="49">
        <v>30000</v>
      </c>
    </row>
    <row r="19" spans="1:7" s="16" customFormat="1" ht="53.25" customHeight="1">
      <c r="A19" s="48" t="s">
        <v>724</v>
      </c>
      <c r="B19" s="6" t="s">
        <v>725</v>
      </c>
      <c r="C19" s="49">
        <v>-30000</v>
      </c>
      <c r="D19" s="49">
        <v>-30000</v>
      </c>
      <c r="E19" s="13">
        <f t="shared" si="0"/>
        <v>0</v>
      </c>
      <c r="F19" s="49">
        <v>-30000</v>
      </c>
      <c r="G19" s="49">
        <v>-30000</v>
      </c>
    </row>
    <row r="20" spans="1:7" s="16" customFormat="1" ht="25.5" hidden="1">
      <c r="A20" s="10" t="s">
        <v>726</v>
      </c>
      <c r="B20" s="17" t="s">
        <v>727</v>
      </c>
      <c r="C20" s="27"/>
      <c r="D20" s="27"/>
      <c r="E20" s="13">
        <f t="shared" si="0"/>
        <v>0</v>
      </c>
      <c r="F20" s="50"/>
      <c r="G20" s="50"/>
    </row>
    <row r="21" spans="1:7" s="16" customFormat="1" ht="30" customHeight="1">
      <c r="A21" s="10" t="s">
        <v>726</v>
      </c>
      <c r="B21" s="17" t="s">
        <v>727</v>
      </c>
      <c r="C21" s="27">
        <f>801.9+12342.6+3005.7+11324.7+80.1+20-9000-123.7+945+100+1470+2648.5+90+3000+300+340.5+800</f>
        <v>28145.3</v>
      </c>
      <c r="D21" s="27">
        <f>801.9+12342.6+3005.7+11324.7+80.1+20-9000-123.7+945+100+1470+2648.5+90+3000+300+340.5+800</f>
        <v>28145.3</v>
      </c>
      <c r="E21" s="27">
        <f>D21-C21</f>
        <v>0</v>
      </c>
      <c r="F21" s="50"/>
      <c r="G21" s="50"/>
    </row>
    <row r="22" spans="1:7" s="15" customFormat="1" ht="42" customHeight="1">
      <c r="A22" s="10" t="s">
        <v>728</v>
      </c>
      <c r="B22" s="17" t="s">
        <v>729</v>
      </c>
      <c r="C22" s="27">
        <f>C24+C25+C23</f>
        <v>10000</v>
      </c>
      <c r="D22" s="27">
        <f>D24+D25+D23</f>
        <v>10000</v>
      </c>
      <c r="E22" s="27">
        <f aca="true" t="shared" si="1" ref="E22:E31">D22-C22</f>
        <v>0</v>
      </c>
      <c r="F22" s="27">
        <f>F24+F25+F23</f>
        <v>10000</v>
      </c>
      <c r="G22" s="27">
        <f>G24+G25+G23</f>
        <v>10000</v>
      </c>
    </row>
    <row r="23" spans="1:7" s="16" customFormat="1" ht="45" customHeight="1">
      <c r="A23" s="48" t="s">
        <v>730</v>
      </c>
      <c r="B23" s="6" t="s">
        <v>731</v>
      </c>
      <c r="C23" s="49">
        <v>10000</v>
      </c>
      <c r="D23" s="49">
        <v>10000</v>
      </c>
      <c r="E23" s="13">
        <f t="shared" si="1"/>
        <v>0</v>
      </c>
      <c r="F23" s="49">
        <v>10000</v>
      </c>
      <c r="G23" s="49">
        <v>10000</v>
      </c>
    </row>
    <row r="24" spans="1:7" s="16" customFormat="1" ht="55.5" customHeight="1">
      <c r="A24" s="48" t="s">
        <v>732</v>
      </c>
      <c r="B24" s="6" t="s">
        <v>733</v>
      </c>
      <c r="C24" s="49">
        <v>-20000</v>
      </c>
      <c r="D24" s="49">
        <v>-20000</v>
      </c>
      <c r="E24" s="13">
        <f t="shared" si="1"/>
        <v>0</v>
      </c>
      <c r="F24" s="49">
        <v>-20000</v>
      </c>
      <c r="G24" s="49">
        <v>-20000</v>
      </c>
    </row>
    <row r="25" spans="1:7" s="16" customFormat="1" ht="60" customHeight="1">
      <c r="A25" s="48" t="s">
        <v>734</v>
      </c>
      <c r="B25" s="6" t="s">
        <v>735</v>
      </c>
      <c r="C25" s="49">
        <v>20000</v>
      </c>
      <c r="D25" s="49">
        <v>20000</v>
      </c>
      <c r="E25" s="13">
        <f t="shared" si="1"/>
        <v>0</v>
      </c>
      <c r="F25" s="49">
        <v>20000</v>
      </c>
      <c r="G25" s="49">
        <v>20000</v>
      </c>
    </row>
    <row r="26" spans="1:7" s="16" customFormat="1" ht="15.75" hidden="1">
      <c r="A26" s="48"/>
      <c r="B26" s="6"/>
      <c r="C26" s="13"/>
      <c r="D26" s="13"/>
      <c r="E26" s="13">
        <f t="shared" si="1"/>
        <v>0</v>
      </c>
      <c r="F26" s="50"/>
      <c r="G26" s="50"/>
    </row>
    <row r="27" spans="1:7" s="15" customFormat="1" ht="31.5" customHeight="1" hidden="1">
      <c r="A27" s="10" t="s">
        <v>736</v>
      </c>
      <c r="B27" s="17" t="s">
        <v>737</v>
      </c>
      <c r="C27" s="27">
        <f>C29</f>
        <v>0</v>
      </c>
      <c r="D27" s="27"/>
      <c r="E27" s="13">
        <f t="shared" si="1"/>
        <v>0</v>
      </c>
      <c r="F27" s="51"/>
      <c r="G27" s="51"/>
    </row>
    <row r="28" spans="1:7" s="16" customFormat="1" ht="15.75" hidden="1">
      <c r="A28" s="48"/>
      <c r="B28" s="6"/>
      <c r="C28" s="13"/>
      <c r="D28" s="13"/>
      <c r="E28" s="13">
        <f t="shared" si="1"/>
        <v>0</v>
      </c>
      <c r="F28" s="50"/>
      <c r="G28" s="50"/>
    </row>
    <row r="29" spans="1:7" s="16" customFormat="1" ht="38.25" hidden="1">
      <c r="A29" s="48" t="s">
        <v>738</v>
      </c>
      <c r="B29" s="6" t="s">
        <v>739</v>
      </c>
      <c r="C29" s="13"/>
      <c r="D29" s="13"/>
      <c r="E29" s="13">
        <f t="shared" si="1"/>
        <v>0</v>
      </c>
      <c r="F29" s="50"/>
      <c r="G29" s="50"/>
    </row>
    <row r="30" spans="1:7" s="16" customFormat="1" ht="15.75" hidden="1">
      <c r="A30" s="48"/>
      <c r="B30" s="6"/>
      <c r="C30" s="13"/>
      <c r="D30" s="13"/>
      <c r="E30" s="13">
        <f t="shared" si="1"/>
        <v>0</v>
      </c>
      <c r="F30" s="50"/>
      <c r="G30" s="50"/>
    </row>
    <row r="31" spans="1:7" s="16" customFormat="1" ht="24" customHeight="1">
      <c r="A31" s="48"/>
      <c r="B31" s="10" t="s">
        <v>740</v>
      </c>
      <c r="C31" s="27">
        <f>C15+C17+C22+C20+C27+C21</f>
        <v>73145.3</v>
      </c>
      <c r="D31" s="27">
        <f>D15+D17+D22+D20+D27+D21</f>
        <v>73145.3</v>
      </c>
      <c r="E31" s="27">
        <f t="shared" si="1"/>
        <v>0</v>
      </c>
      <c r="F31" s="27">
        <f>F15+F17+F22+F20+F27+F21</f>
        <v>38500</v>
      </c>
      <c r="G31" s="27">
        <f>G15+G17+G22+G20+G27+G21</f>
        <v>40000</v>
      </c>
    </row>
    <row r="32" spans="1:7" s="67" customFormat="1" ht="71.25" customHeight="1">
      <c r="A32" s="65"/>
      <c r="B32" s="66" t="s">
        <v>864</v>
      </c>
      <c r="C32" s="68">
        <f>((C31-C21)/('Пр.2'!C13-'Пр.2'!C15*19/34)*100)</f>
        <v>8.831360088098414</v>
      </c>
      <c r="D32" s="68">
        <f>((D31-D21)/('Пр.2'!D13-'Пр.2'!D15*19/34)*100)</f>
        <v>8.80260186040056</v>
      </c>
      <c r="E32" s="68"/>
      <c r="F32" s="68">
        <f>((F31-F21)/('Пр.2'!F13-'Пр.2'!F15*19.4/34.4)*100)</f>
        <v>7.9381681482077155</v>
      </c>
      <c r="G32" s="68">
        <f>((G31-G21)/('Пр.2'!G13-'Пр.2'!G15*19.6/34.6)*100)</f>
        <v>7.873559670358497</v>
      </c>
    </row>
    <row r="33" spans="1:5" ht="12.75">
      <c r="A33" s="18"/>
      <c r="B33" s="18"/>
      <c r="C33" s="52"/>
      <c r="D33" s="52"/>
      <c r="E33" s="52"/>
    </row>
    <row r="34" spans="1:5" ht="12.75">
      <c r="A34" s="53"/>
      <c r="B34" s="53"/>
      <c r="C34" s="54"/>
      <c r="D34" s="54"/>
      <c r="E34" s="54"/>
    </row>
    <row r="35" spans="1:5" s="41" customFormat="1" ht="12.75">
      <c r="A35" s="53"/>
      <c r="B35" s="53"/>
      <c r="C35" s="54"/>
      <c r="D35" s="54"/>
      <c r="E35" s="54"/>
    </row>
    <row r="36" spans="1:5" s="41" customFormat="1" ht="12.75">
      <c r="A36" s="18"/>
      <c r="B36" s="18"/>
      <c r="C36" s="52"/>
      <c r="D36" s="52"/>
      <c r="E36" s="52"/>
    </row>
    <row r="37" spans="1:5" s="41" customFormat="1" ht="12.75">
      <c r="A37" s="18"/>
      <c r="B37" s="18"/>
      <c r="C37" s="52"/>
      <c r="D37" s="52"/>
      <c r="E37" s="52"/>
    </row>
    <row r="38" spans="1:5" ht="12.75">
      <c r="A38" s="18"/>
      <c r="B38" s="18"/>
      <c r="C38" s="52"/>
      <c r="D38" s="52"/>
      <c r="E38" s="52"/>
    </row>
    <row r="39" spans="1:5" ht="18">
      <c r="A39" s="55"/>
      <c r="B39" s="56"/>
      <c r="C39" s="57"/>
      <c r="D39" s="57"/>
      <c r="E39" s="57"/>
    </row>
  </sheetData>
  <sheetProtection/>
  <mergeCells count="4">
    <mergeCell ref="B13:B14"/>
    <mergeCell ref="A13:A14"/>
    <mergeCell ref="A10:F10"/>
    <mergeCell ref="C13:G13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5" sqref="D5"/>
    </sheetView>
  </sheetViews>
  <sheetFormatPr defaultColWidth="10.140625" defaultRowHeight="15"/>
  <cols>
    <col min="1" max="1" width="84.57421875" style="325" customWidth="1"/>
    <col min="2" max="2" width="13.7109375" style="324" customWidth="1"/>
    <col min="3" max="3" width="13.421875" style="324" customWidth="1"/>
    <col min="4" max="4" width="13.28125" style="324" customWidth="1"/>
    <col min="5" max="5" width="10.140625" style="77" customWidth="1"/>
    <col min="6" max="6" width="19.421875" style="77" customWidth="1"/>
    <col min="7" max="16384" width="10.140625" style="77" customWidth="1"/>
  </cols>
  <sheetData>
    <row r="1" spans="1:4" ht="15">
      <c r="A1" s="319"/>
      <c r="B1" s="320"/>
      <c r="C1" s="321"/>
      <c r="D1" s="321" t="s">
        <v>0</v>
      </c>
    </row>
    <row r="2" spans="1:4" ht="15">
      <c r="A2" s="322"/>
      <c r="B2" s="320"/>
      <c r="C2" s="321"/>
      <c r="D2" s="321" t="s">
        <v>1</v>
      </c>
    </row>
    <row r="3" spans="1:4" ht="15">
      <c r="A3" s="322"/>
      <c r="B3" s="194"/>
      <c r="C3" s="268"/>
      <c r="D3" s="268" t="s">
        <v>2</v>
      </c>
    </row>
    <row r="4" spans="1:4" ht="15">
      <c r="A4" s="322"/>
      <c r="B4" s="194"/>
      <c r="C4" s="268"/>
      <c r="D4" s="268" t="s">
        <v>1259</v>
      </c>
    </row>
    <row r="5" spans="1:4" ht="15">
      <c r="A5" s="322"/>
      <c r="B5" s="320"/>
      <c r="C5" s="320"/>
      <c r="D5" s="321" t="s">
        <v>1024</v>
      </c>
    </row>
    <row r="6" spans="1:4" ht="15">
      <c r="A6" s="322"/>
      <c r="B6" s="320"/>
      <c r="C6" s="320"/>
      <c r="D6" s="320"/>
    </row>
    <row r="7" spans="1:2" ht="15">
      <c r="A7" s="322"/>
      <c r="B7" s="323"/>
    </row>
    <row r="8" spans="1:3" ht="48.75" customHeight="1">
      <c r="A8" s="560" t="s">
        <v>1006</v>
      </c>
      <c r="B8" s="561"/>
      <c r="C8" s="562"/>
    </row>
    <row r="9" ht="14.25" customHeight="1">
      <c r="A9" s="319"/>
    </row>
    <row r="10" ht="15">
      <c r="A10" s="319"/>
    </row>
    <row r="11" spans="1:4" s="75" customFormat="1" ht="31.5" customHeight="1">
      <c r="A11" s="563" t="s">
        <v>135</v>
      </c>
      <c r="B11" s="565" t="s">
        <v>22</v>
      </c>
      <c r="C11" s="566"/>
      <c r="D11" s="567"/>
    </row>
    <row r="12" spans="1:4" ht="18" customHeight="1">
      <c r="A12" s="564"/>
      <c r="B12" s="76" t="s">
        <v>742</v>
      </c>
      <c r="C12" s="76" t="s">
        <v>743</v>
      </c>
      <c r="D12" s="76" t="s">
        <v>878</v>
      </c>
    </row>
    <row r="13" spans="1:4" ht="21" customHeight="1">
      <c r="A13" s="89" t="s">
        <v>987</v>
      </c>
      <c r="B13" s="78">
        <v>45489.7</v>
      </c>
      <c r="C13" s="79">
        <v>46539.1</v>
      </c>
      <c r="D13" s="79">
        <v>46539.1</v>
      </c>
    </row>
    <row r="14" spans="1:4" ht="32.25" customHeight="1">
      <c r="A14" s="89" t="s">
        <v>988</v>
      </c>
      <c r="B14" s="78">
        <f>105235.5-29.5</f>
        <v>105206</v>
      </c>
      <c r="C14" s="79">
        <f>108865.3-29.5</f>
        <v>108835.8</v>
      </c>
      <c r="D14" s="79">
        <f>112643.3-29.5</f>
        <v>112613.8</v>
      </c>
    </row>
    <row r="15" spans="1:4" s="81" customFormat="1" ht="18" customHeight="1">
      <c r="A15" s="80" t="s">
        <v>989</v>
      </c>
      <c r="B15" s="37">
        <f>SUM(B13:B14)</f>
        <v>150695.7</v>
      </c>
      <c r="C15" s="37">
        <f>SUM(C13:C14)</f>
        <v>155374.9</v>
      </c>
      <c r="D15" s="37">
        <f>SUM(D13:D14)</f>
        <v>159152.9</v>
      </c>
    </row>
    <row r="16" spans="1:4" ht="34.5" customHeight="1">
      <c r="A16" s="82" t="s">
        <v>146</v>
      </c>
      <c r="B16" s="78">
        <v>198.9</v>
      </c>
      <c r="C16" s="79">
        <v>212.2</v>
      </c>
      <c r="D16" s="79">
        <v>224.9</v>
      </c>
    </row>
    <row r="17" spans="1:4" ht="33" customHeight="1">
      <c r="A17" s="82" t="s">
        <v>147</v>
      </c>
      <c r="B17" s="78">
        <v>199</v>
      </c>
      <c r="C17" s="79">
        <v>212.5</v>
      </c>
      <c r="D17" s="79">
        <v>225.3</v>
      </c>
    </row>
    <row r="18" spans="1:4" ht="33.75" customHeight="1" hidden="1">
      <c r="A18" s="82" t="s">
        <v>990</v>
      </c>
      <c r="B18" s="78"/>
      <c r="C18" s="79"/>
      <c r="D18" s="79"/>
    </row>
    <row r="19" spans="1:4" ht="33.75" customHeight="1">
      <c r="A19" s="83" t="s">
        <v>931</v>
      </c>
      <c r="B19" s="78">
        <v>150</v>
      </c>
      <c r="C19" s="79"/>
      <c r="D19" s="79"/>
    </row>
    <row r="20" spans="1:4" ht="36.75" customHeight="1">
      <c r="A20" s="84" t="s">
        <v>991</v>
      </c>
      <c r="B20" s="78">
        <f>600+90+68.7</f>
        <v>758.7</v>
      </c>
      <c r="C20" s="79"/>
      <c r="D20" s="79"/>
    </row>
    <row r="21" spans="1:4" ht="50.25" customHeight="1">
      <c r="A21" s="84" t="s">
        <v>946</v>
      </c>
      <c r="B21" s="78">
        <f>1800+160</f>
        <v>1960</v>
      </c>
      <c r="C21" s="79"/>
      <c r="D21" s="79"/>
    </row>
    <row r="22" spans="1:4" ht="51" customHeight="1">
      <c r="A22" s="84" t="s">
        <v>1007</v>
      </c>
      <c r="B22" s="78">
        <v>1027.2</v>
      </c>
      <c r="C22" s="79"/>
      <c r="D22" s="79"/>
    </row>
    <row r="23" spans="1:4" ht="37.5" customHeight="1">
      <c r="A23" s="84" t="s">
        <v>841</v>
      </c>
      <c r="B23" s="78">
        <f>767+365</f>
        <v>1132</v>
      </c>
      <c r="C23" s="79">
        <v>784.7</v>
      </c>
      <c r="D23" s="79">
        <v>802.4</v>
      </c>
    </row>
    <row r="24" spans="1:4" ht="36" customHeight="1">
      <c r="A24" s="84" t="s">
        <v>932</v>
      </c>
      <c r="B24" s="78">
        <v>610</v>
      </c>
      <c r="C24" s="79"/>
      <c r="D24" s="79"/>
    </row>
    <row r="25" spans="1:4" ht="36" customHeight="1">
      <c r="A25" s="84" t="s">
        <v>933</v>
      </c>
      <c r="B25" s="78">
        <v>458.1</v>
      </c>
      <c r="C25" s="79"/>
      <c r="D25" s="79"/>
    </row>
    <row r="26" spans="1:4" ht="33" customHeight="1">
      <c r="A26" s="84" t="s">
        <v>934</v>
      </c>
      <c r="B26" s="78">
        <v>302</v>
      </c>
      <c r="C26" s="79"/>
      <c r="D26" s="79"/>
    </row>
    <row r="27" spans="1:4" ht="37.5" customHeight="1">
      <c r="A27" s="84" t="s">
        <v>1254</v>
      </c>
      <c r="B27" s="78">
        <f>495-200.1</f>
        <v>294.9</v>
      </c>
      <c r="C27" s="79"/>
      <c r="D27" s="79"/>
    </row>
    <row r="28" spans="1:4" ht="30.75" customHeight="1">
      <c r="A28" s="84" t="s">
        <v>992</v>
      </c>
      <c r="B28" s="78">
        <v>200.1</v>
      </c>
      <c r="C28" s="79"/>
      <c r="D28" s="79"/>
    </row>
    <row r="29" spans="1:4" ht="51" customHeight="1">
      <c r="A29" s="84" t="s">
        <v>1163</v>
      </c>
      <c r="B29" s="78">
        <v>75</v>
      </c>
      <c r="C29" s="79"/>
      <c r="D29" s="79"/>
    </row>
    <row r="30" spans="1:4" ht="30.75" customHeight="1">
      <c r="A30" s="84" t="s">
        <v>703</v>
      </c>
      <c r="B30" s="78">
        <v>1655.2</v>
      </c>
      <c r="C30" s="79"/>
      <c r="D30" s="79"/>
    </row>
    <row r="31" spans="1:4" s="81" customFormat="1" ht="34.5" customHeight="1">
      <c r="A31" s="82" t="s">
        <v>993</v>
      </c>
      <c r="B31" s="78">
        <f>450+1479.1-190</f>
        <v>1739.1</v>
      </c>
      <c r="C31" s="79">
        <f>450+1579</f>
        <v>2029</v>
      </c>
      <c r="D31" s="79">
        <f>450+1673.7</f>
        <v>2123.7</v>
      </c>
    </row>
    <row r="32" spans="1:4" s="81" customFormat="1" ht="27" customHeight="1" hidden="1">
      <c r="A32" s="82" t="s">
        <v>149</v>
      </c>
      <c r="B32" s="78"/>
      <c r="C32" s="79"/>
      <c r="D32" s="79"/>
    </row>
    <row r="33" spans="1:4" s="81" customFormat="1" ht="24.75" customHeight="1" hidden="1">
      <c r="A33" s="82" t="s">
        <v>994</v>
      </c>
      <c r="B33" s="78"/>
      <c r="C33" s="79"/>
      <c r="D33" s="79"/>
    </row>
    <row r="34" spans="1:4" s="81" customFormat="1" ht="20.25" customHeight="1">
      <c r="A34" s="82" t="s">
        <v>995</v>
      </c>
      <c r="B34" s="78">
        <f>40.7+666.1+190</f>
        <v>896.8000000000001</v>
      </c>
      <c r="C34" s="78">
        <v>40.7</v>
      </c>
      <c r="D34" s="79">
        <v>40.7</v>
      </c>
    </row>
    <row r="35" spans="1:4" s="81" customFormat="1" ht="38.25" customHeight="1" hidden="1">
      <c r="A35" s="82" t="s">
        <v>996</v>
      </c>
      <c r="B35" s="78"/>
      <c r="C35" s="79"/>
      <c r="D35" s="79"/>
    </row>
    <row r="36" spans="1:4" s="81" customFormat="1" ht="47.25" customHeight="1">
      <c r="A36" s="85" t="s">
        <v>997</v>
      </c>
      <c r="B36" s="78">
        <v>7229.9</v>
      </c>
      <c r="C36" s="79"/>
      <c r="D36" s="79"/>
    </row>
    <row r="37" spans="1:4" s="81" customFormat="1" ht="32.25" customHeight="1" hidden="1">
      <c r="A37" s="85" t="s">
        <v>998</v>
      </c>
      <c r="B37" s="78"/>
      <c r="C37" s="79"/>
      <c r="D37" s="79"/>
    </row>
    <row r="38" spans="1:4" s="81" customFormat="1" ht="51" customHeight="1">
      <c r="A38" s="83" t="s">
        <v>999</v>
      </c>
      <c r="B38" s="78">
        <v>2265.7</v>
      </c>
      <c r="C38" s="79">
        <v>2318</v>
      </c>
      <c r="D38" s="79">
        <v>2138</v>
      </c>
    </row>
    <row r="39" spans="1:4" s="81" customFormat="1" ht="38.25" customHeight="1">
      <c r="A39" s="83" t="s">
        <v>967</v>
      </c>
      <c r="B39" s="78">
        <v>70.8</v>
      </c>
      <c r="C39" s="79">
        <v>72.4</v>
      </c>
      <c r="D39" s="79">
        <v>74</v>
      </c>
    </row>
    <row r="40" spans="1:4" s="81" customFormat="1" ht="39" customHeight="1">
      <c r="A40" s="83" t="s">
        <v>1000</v>
      </c>
      <c r="B40" s="78">
        <v>71.9</v>
      </c>
      <c r="C40" s="79">
        <v>73.6</v>
      </c>
      <c r="D40" s="79">
        <v>76</v>
      </c>
    </row>
    <row r="41" spans="1:4" s="81" customFormat="1" ht="47.25" customHeight="1">
      <c r="A41" s="83" t="s">
        <v>1001</v>
      </c>
      <c r="B41" s="78">
        <f>191.3-17.3</f>
        <v>174</v>
      </c>
      <c r="C41" s="78"/>
      <c r="D41" s="78"/>
    </row>
    <row r="42" spans="1:4" s="81" customFormat="1" ht="35.25" customHeight="1">
      <c r="A42" s="83" t="s">
        <v>968</v>
      </c>
      <c r="B42" s="78">
        <v>97.6</v>
      </c>
      <c r="C42" s="79">
        <v>99.9</v>
      </c>
      <c r="D42" s="79">
        <v>100</v>
      </c>
    </row>
    <row r="43" spans="1:4" s="81" customFormat="1" ht="33.75" customHeight="1">
      <c r="A43" s="83" t="s">
        <v>937</v>
      </c>
      <c r="B43" s="78">
        <v>20.5</v>
      </c>
      <c r="C43" s="79">
        <v>21</v>
      </c>
      <c r="D43" s="79">
        <v>25</v>
      </c>
    </row>
    <row r="44" spans="1:4" s="81" customFormat="1" ht="35.25" customHeight="1">
      <c r="A44" s="83" t="s">
        <v>540</v>
      </c>
      <c r="B44" s="78">
        <v>40.4</v>
      </c>
      <c r="C44" s="79">
        <v>40.4</v>
      </c>
      <c r="D44" s="79">
        <v>42</v>
      </c>
    </row>
    <row r="45" spans="1:6" s="81" customFormat="1" ht="34.5" customHeight="1">
      <c r="A45" s="83" t="s">
        <v>1002</v>
      </c>
      <c r="B45" s="78">
        <v>22.3</v>
      </c>
      <c r="C45" s="79">
        <v>23.7</v>
      </c>
      <c r="D45" s="79">
        <v>24</v>
      </c>
      <c r="F45" s="86"/>
    </row>
    <row r="46" spans="1:4" s="81" customFormat="1" ht="34.5" customHeight="1">
      <c r="A46" s="83" t="s">
        <v>538</v>
      </c>
      <c r="B46" s="78">
        <v>27.1</v>
      </c>
      <c r="C46" s="79">
        <v>27.9</v>
      </c>
      <c r="D46" s="79">
        <v>27</v>
      </c>
    </row>
    <row r="47" spans="1:4" s="81" customFormat="1" ht="33.75" customHeight="1">
      <c r="A47" s="83" t="s">
        <v>1003</v>
      </c>
      <c r="B47" s="78">
        <v>8.9</v>
      </c>
      <c r="C47" s="79">
        <v>8.9</v>
      </c>
      <c r="D47" s="79">
        <v>10</v>
      </c>
    </row>
    <row r="48" spans="1:4" s="81" customFormat="1" ht="34.5" customHeight="1" hidden="1">
      <c r="A48" s="83" t="s">
        <v>1008</v>
      </c>
      <c r="B48" s="78"/>
      <c r="C48" s="79"/>
      <c r="D48" s="79"/>
    </row>
    <row r="49" spans="1:4" s="81" customFormat="1" ht="36.75" customHeight="1">
      <c r="A49" s="83" t="s">
        <v>701</v>
      </c>
      <c r="B49" s="78">
        <f>10000+5000</f>
        <v>15000</v>
      </c>
      <c r="C49" s="79">
        <v>10000</v>
      </c>
      <c r="D49" s="79">
        <v>10000</v>
      </c>
    </row>
    <row r="50" spans="1:4" s="81" customFormat="1" ht="37.5" customHeight="1">
      <c r="A50" s="83" t="s">
        <v>874</v>
      </c>
      <c r="B50" s="78">
        <v>500</v>
      </c>
      <c r="C50" s="79">
        <v>500</v>
      </c>
      <c r="D50" s="79">
        <v>500</v>
      </c>
    </row>
    <row r="51" spans="1:4" s="81" customFormat="1" ht="48.75" customHeight="1">
      <c r="A51" s="83" t="s">
        <v>863</v>
      </c>
      <c r="B51" s="78">
        <v>4600</v>
      </c>
      <c r="C51" s="79"/>
      <c r="D51" s="79"/>
    </row>
    <row r="52" spans="1:4" s="81" customFormat="1" ht="47.25" customHeight="1">
      <c r="A52" s="83" t="s">
        <v>1182</v>
      </c>
      <c r="B52" s="78">
        <v>17100</v>
      </c>
      <c r="C52" s="79"/>
      <c r="D52" s="79"/>
    </row>
    <row r="53" spans="1:4" s="81" customFormat="1" ht="50.25" customHeight="1">
      <c r="A53" s="83" t="s">
        <v>1184</v>
      </c>
      <c r="B53" s="78">
        <v>1680</v>
      </c>
      <c r="C53" s="79"/>
      <c r="D53" s="79"/>
    </row>
    <row r="54" spans="1:4" ht="14.25" customHeight="1">
      <c r="A54" s="80" t="s">
        <v>1004</v>
      </c>
      <c r="B54" s="37">
        <f>SUM(B16:B53)</f>
        <v>60566.100000000006</v>
      </c>
      <c r="C54" s="37">
        <f>SUM(C16:C52)</f>
        <v>16464.899999999998</v>
      </c>
      <c r="D54" s="37">
        <f>SUM(D16:D52)</f>
        <v>16433</v>
      </c>
    </row>
    <row r="55" spans="1:4" ht="15.75" customHeight="1">
      <c r="A55" s="87" t="s">
        <v>1005</v>
      </c>
      <c r="B55" s="88">
        <f>B54+B15</f>
        <v>211261.80000000002</v>
      </c>
      <c r="C55" s="88">
        <f>C54+C15</f>
        <v>171839.8</v>
      </c>
      <c r="D55" s="88">
        <f>D54+D15</f>
        <v>175585.9</v>
      </c>
    </row>
  </sheetData>
  <sheetProtection/>
  <mergeCells count="3">
    <mergeCell ref="A8:C8"/>
    <mergeCell ref="A11:A12"/>
    <mergeCell ref="B11:D11"/>
  </mergeCells>
  <printOptions/>
  <pageMargins left="0.7086614173228347" right="0.11811023622047245" top="0.7480314960629921" bottom="0.35433070866141736" header="0.31496062992125984" footer="0.31496062992125984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selection activeCell="A5" sqref="A5:B5"/>
    </sheetView>
  </sheetViews>
  <sheetFormatPr defaultColWidth="8.7109375" defaultRowHeight="15"/>
  <cols>
    <col min="1" max="1" width="57.28125" style="380" customWidth="1"/>
    <col min="2" max="2" width="20.28125" style="380" customWidth="1"/>
    <col min="3" max="16384" width="8.7109375" style="380" customWidth="1"/>
  </cols>
  <sheetData>
    <row r="1" spans="1:256" ht="15" customHeight="1">
      <c r="A1" s="239"/>
      <c r="B1" s="239" t="s">
        <v>0</v>
      </c>
      <c r="C1" s="326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  <c r="AZ1" s="327"/>
      <c r="BA1" s="327"/>
      <c r="BB1" s="327"/>
      <c r="BC1" s="327"/>
      <c r="BD1" s="327"/>
      <c r="BE1" s="327"/>
      <c r="BF1" s="327"/>
      <c r="BG1" s="327"/>
      <c r="BH1" s="327"/>
      <c r="BI1" s="327"/>
      <c r="BJ1" s="327"/>
      <c r="BK1" s="327"/>
      <c r="BL1" s="327"/>
      <c r="BM1" s="327"/>
      <c r="BN1" s="327"/>
      <c r="BO1" s="327"/>
      <c r="BP1" s="327"/>
      <c r="BQ1" s="327"/>
      <c r="BR1" s="327"/>
      <c r="BS1" s="327"/>
      <c r="BT1" s="327"/>
      <c r="BU1" s="327"/>
      <c r="BV1" s="327"/>
      <c r="BW1" s="327"/>
      <c r="BX1" s="327"/>
      <c r="BY1" s="327"/>
      <c r="BZ1" s="327"/>
      <c r="CA1" s="327"/>
      <c r="CB1" s="327"/>
      <c r="CC1" s="327"/>
      <c r="CD1" s="327"/>
      <c r="CE1" s="327"/>
      <c r="CF1" s="327"/>
      <c r="CG1" s="327"/>
      <c r="CH1" s="327"/>
      <c r="CI1" s="327"/>
      <c r="CJ1" s="327"/>
      <c r="CK1" s="327"/>
      <c r="CL1" s="327"/>
      <c r="CM1" s="327"/>
      <c r="CN1" s="327"/>
      <c r="CO1" s="327"/>
      <c r="CP1" s="327"/>
      <c r="CQ1" s="327"/>
      <c r="CR1" s="327"/>
      <c r="CS1" s="327"/>
      <c r="CT1" s="327"/>
      <c r="CU1" s="327"/>
      <c r="CV1" s="327"/>
      <c r="CW1" s="327"/>
      <c r="CX1" s="327"/>
      <c r="CY1" s="327"/>
      <c r="CZ1" s="327"/>
      <c r="DA1" s="327"/>
      <c r="DB1" s="327"/>
      <c r="DC1" s="327"/>
      <c r="DD1" s="327"/>
      <c r="DE1" s="327"/>
      <c r="DF1" s="327"/>
      <c r="DG1" s="327"/>
      <c r="DH1" s="327"/>
      <c r="DI1" s="327"/>
      <c r="DJ1" s="327"/>
      <c r="DK1" s="327"/>
      <c r="DL1" s="327"/>
      <c r="DM1" s="327"/>
      <c r="DN1" s="327"/>
      <c r="DO1" s="327"/>
      <c r="DP1" s="327"/>
      <c r="DQ1" s="327"/>
      <c r="DR1" s="327"/>
      <c r="DS1" s="327"/>
      <c r="DT1" s="327"/>
      <c r="DU1" s="327"/>
      <c r="DV1" s="327"/>
      <c r="DW1" s="327"/>
      <c r="DX1" s="327"/>
      <c r="DY1" s="327"/>
      <c r="DZ1" s="327"/>
      <c r="EA1" s="327"/>
      <c r="EB1" s="327"/>
      <c r="EC1" s="327"/>
      <c r="ED1" s="327"/>
      <c r="EE1" s="327"/>
      <c r="EF1" s="327"/>
      <c r="EG1" s="327"/>
      <c r="EH1" s="327"/>
      <c r="EI1" s="327"/>
      <c r="EJ1" s="327"/>
      <c r="EK1" s="327"/>
      <c r="EL1" s="327"/>
      <c r="EM1" s="327"/>
      <c r="EN1" s="327"/>
      <c r="EO1" s="327"/>
      <c r="EP1" s="327"/>
      <c r="EQ1" s="327"/>
      <c r="ER1" s="327"/>
      <c r="ES1" s="327"/>
      <c r="ET1" s="327"/>
      <c r="EU1" s="327"/>
      <c r="EV1" s="327"/>
      <c r="EW1" s="327"/>
      <c r="EX1" s="327"/>
      <c r="EY1" s="327"/>
      <c r="EZ1" s="327"/>
      <c r="FA1" s="327"/>
      <c r="FB1" s="327"/>
      <c r="FC1" s="327"/>
      <c r="FD1" s="327"/>
      <c r="FE1" s="327"/>
      <c r="FF1" s="327"/>
      <c r="FG1" s="327"/>
      <c r="FH1" s="327"/>
      <c r="FI1" s="327"/>
      <c r="FJ1" s="327"/>
      <c r="FK1" s="327"/>
      <c r="FL1" s="327"/>
      <c r="FM1" s="327"/>
      <c r="FN1" s="327"/>
      <c r="FO1" s="327"/>
      <c r="FP1" s="327"/>
      <c r="FQ1" s="327"/>
      <c r="FR1" s="327"/>
      <c r="FS1" s="327"/>
      <c r="FT1" s="327"/>
      <c r="FU1" s="327"/>
      <c r="FV1" s="327"/>
      <c r="FW1" s="327"/>
      <c r="FX1" s="327"/>
      <c r="FY1" s="327"/>
      <c r="FZ1" s="327"/>
      <c r="GA1" s="327"/>
      <c r="GB1" s="327"/>
      <c r="GC1" s="327"/>
      <c r="GD1" s="327"/>
      <c r="GE1" s="327"/>
      <c r="GF1" s="327"/>
      <c r="GG1" s="327"/>
      <c r="GH1" s="327"/>
      <c r="GI1" s="327"/>
      <c r="GJ1" s="327"/>
      <c r="GK1" s="327"/>
      <c r="GL1" s="327"/>
      <c r="GM1" s="327"/>
      <c r="GN1" s="327"/>
      <c r="GO1" s="327"/>
      <c r="GP1" s="327"/>
      <c r="GQ1" s="327"/>
      <c r="GR1" s="327"/>
      <c r="GS1" s="327"/>
      <c r="GT1" s="327"/>
      <c r="GU1" s="327"/>
      <c r="GV1" s="327"/>
      <c r="GW1" s="327"/>
      <c r="GX1" s="327"/>
      <c r="GY1" s="327"/>
      <c r="GZ1" s="327"/>
      <c r="HA1" s="327"/>
      <c r="HB1" s="327"/>
      <c r="HC1" s="327"/>
      <c r="HD1" s="327"/>
      <c r="HE1" s="327"/>
      <c r="HF1" s="327"/>
      <c r="HG1" s="327"/>
      <c r="HH1" s="327"/>
      <c r="HI1" s="327"/>
      <c r="HJ1" s="327"/>
      <c r="HK1" s="327"/>
      <c r="HL1" s="327"/>
      <c r="HM1" s="327"/>
      <c r="HN1" s="327"/>
      <c r="HO1" s="327"/>
      <c r="HP1" s="327"/>
      <c r="HQ1" s="327"/>
      <c r="HR1" s="327"/>
      <c r="HS1" s="327"/>
      <c r="HT1" s="327"/>
      <c r="HU1" s="327"/>
      <c r="HV1" s="327"/>
      <c r="HW1" s="327"/>
      <c r="HX1" s="327"/>
      <c r="HY1" s="327"/>
      <c r="HZ1" s="327"/>
      <c r="IA1" s="327"/>
      <c r="IB1" s="327"/>
      <c r="IC1" s="327"/>
      <c r="ID1" s="327"/>
      <c r="IE1" s="327"/>
      <c r="IF1" s="327"/>
      <c r="IG1" s="327"/>
      <c r="IH1" s="327"/>
      <c r="II1" s="327"/>
      <c r="IJ1" s="327"/>
      <c r="IK1" s="327"/>
      <c r="IL1" s="327"/>
      <c r="IM1" s="327"/>
      <c r="IN1" s="327"/>
      <c r="IO1" s="327"/>
      <c r="IP1" s="327"/>
      <c r="IQ1" s="327"/>
      <c r="IR1" s="327"/>
      <c r="IS1" s="327"/>
      <c r="IT1" s="327"/>
      <c r="IU1" s="327"/>
      <c r="IV1" s="327"/>
    </row>
    <row r="2" spans="1:256" ht="15" customHeight="1">
      <c r="A2" s="239"/>
      <c r="B2" s="239" t="s">
        <v>1</v>
      </c>
      <c r="C2" s="192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327"/>
      <c r="BK2" s="327"/>
      <c r="BL2" s="327"/>
      <c r="BM2" s="327"/>
      <c r="BN2" s="327"/>
      <c r="BO2" s="327"/>
      <c r="BP2" s="327"/>
      <c r="BQ2" s="327"/>
      <c r="BR2" s="327"/>
      <c r="BS2" s="327"/>
      <c r="BT2" s="327"/>
      <c r="BU2" s="327"/>
      <c r="BV2" s="327"/>
      <c r="BW2" s="327"/>
      <c r="BX2" s="327"/>
      <c r="BY2" s="327"/>
      <c r="BZ2" s="327"/>
      <c r="CA2" s="327"/>
      <c r="CB2" s="327"/>
      <c r="CC2" s="327"/>
      <c r="CD2" s="327"/>
      <c r="CE2" s="327"/>
      <c r="CF2" s="327"/>
      <c r="CG2" s="327"/>
      <c r="CH2" s="327"/>
      <c r="CI2" s="327"/>
      <c r="CJ2" s="327"/>
      <c r="CK2" s="327"/>
      <c r="CL2" s="327"/>
      <c r="CM2" s="327"/>
      <c r="CN2" s="327"/>
      <c r="CO2" s="327"/>
      <c r="CP2" s="327"/>
      <c r="CQ2" s="327"/>
      <c r="CR2" s="327"/>
      <c r="CS2" s="327"/>
      <c r="CT2" s="327"/>
      <c r="CU2" s="327"/>
      <c r="CV2" s="327"/>
      <c r="CW2" s="327"/>
      <c r="CX2" s="327"/>
      <c r="CY2" s="327"/>
      <c r="CZ2" s="327"/>
      <c r="DA2" s="327"/>
      <c r="DB2" s="327"/>
      <c r="DC2" s="327"/>
      <c r="DD2" s="327"/>
      <c r="DE2" s="327"/>
      <c r="DF2" s="327"/>
      <c r="DG2" s="327"/>
      <c r="DH2" s="327"/>
      <c r="DI2" s="327"/>
      <c r="DJ2" s="327"/>
      <c r="DK2" s="327"/>
      <c r="DL2" s="327"/>
      <c r="DM2" s="327"/>
      <c r="DN2" s="327"/>
      <c r="DO2" s="327"/>
      <c r="DP2" s="327"/>
      <c r="DQ2" s="327"/>
      <c r="DR2" s="327"/>
      <c r="DS2" s="327"/>
      <c r="DT2" s="327"/>
      <c r="DU2" s="327"/>
      <c r="DV2" s="327"/>
      <c r="DW2" s="327"/>
      <c r="DX2" s="327"/>
      <c r="DY2" s="327"/>
      <c r="DZ2" s="327"/>
      <c r="EA2" s="327"/>
      <c r="EB2" s="327"/>
      <c r="EC2" s="327"/>
      <c r="ED2" s="327"/>
      <c r="EE2" s="327"/>
      <c r="EF2" s="327"/>
      <c r="EG2" s="327"/>
      <c r="EH2" s="327"/>
      <c r="EI2" s="327"/>
      <c r="EJ2" s="327"/>
      <c r="EK2" s="327"/>
      <c r="EL2" s="327"/>
      <c r="EM2" s="327"/>
      <c r="EN2" s="327"/>
      <c r="EO2" s="327"/>
      <c r="EP2" s="327"/>
      <c r="EQ2" s="327"/>
      <c r="ER2" s="327"/>
      <c r="ES2" s="327"/>
      <c r="ET2" s="327"/>
      <c r="EU2" s="327"/>
      <c r="EV2" s="327"/>
      <c r="EW2" s="327"/>
      <c r="EX2" s="327"/>
      <c r="EY2" s="327"/>
      <c r="EZ2" s="327"/>
      <c r="FA2" s="327"/>
      <c r="FB2" s="327"/>
      <c r="FC2" s="327"/>
      <c r="FD2" s="327"/>
      <c r="FE2" s="327"/>
      <c r="FF2" s="327"/>
      <c r="FG2" s="327"/>
      <c r="FH2" s="327"/>
      <c r="FI2" s="327"/>
      <c r="FJ2" s="327"/>
      <c r="FK2" s="327"/>
      <c r="FL2" s="327"/>
      <c r="FM2" s="327"/>
      <c r="FN2" s="327"/>
      <c r="FO2" s="327"/>
      <c r="FP2" s="327"/>
      <c r="FQ2" s="327"/>
      <c r="FR2" s="327"/>
      <c r="FS2" s="327"/>
      <c r="FT2" s="327"/>
      <c r="FU2" s="327"/>
      <c r="FV2" s="327"/>
      <c r="FW2" s="327"/>
      <c r="FX2" s="327"/>
      <c r="FY2" s="327"/>
      <c r="FZ2" s="327"/>
      <c r="GA2" s="327"/>
      <c r="GB2" s="327"/>
      <c r="GC2" s="327"/>
      <c r="GD2" s="327"/>
      <c r="GE2" s="327"/>
      <c r="GF2" s="327"/>
      <c r="GG2" s="327"/>
      <c r="GH2" s="327"/>
      <c r="GI2" s="327"/>
      <c r="GJ2" s="327"/>
      <c r="GK2" s="327"/>
      <c r="GL2" s="327"/>
      <c r="GM2" s="327"/>
      <c r="GN2" s="327"/>
      <c r="GO2" s="327"/>
      <c r="GP2" s="327"/>
      <c r="GQ2" s="327"/>
      <c r="GR2" s="327"/>
      <c r="GS2" s="327"/>
      <c r="GT2" s="327"/>
      <c r="GU2" s="327"/>
      <c r="GV2" s="327"/>
      <c r="GW2" s="327"/>
      <c r="GX2" s="327"/>
      <c r="GY2" s="327"/>
      <c r="GZ2" s="327"/>
      <c r="HA2" s="327"/>
      <c r="HB2" s="327"/>
      <c r="HC2" s="327"/>
      <c r="HD2" s="327"/>
      <c r="HE2" s="327"/>
      <c r="HF2" s="327"/>
      <c r="HG2" s="327"/>
      <c r="HH2" s="327"/>
      <c r="HI2" s="327"/>
      <c r="HJ2" s="327"/>
      <c r="HK2" s="327"/>
      <c r="HL2" s="327"/>
      <c r="HM2" s="327"/>
      <c r="HN2" s="327"/>
      <c r="HO2" s="327"/>
      <c r="HP2" s="327"/>
      <c r="HQ2" s="327"/>
      <c r="HR2" s="327"/>
      <c r="HS2" s="327"/>
      <c r="HT2" s="327"/>
      <c r="HU2" s="327"/>
      <c r="HV2" s="327"/>
      <c r="HW2" s="327"/>
      <c r="HX2" s="327"/>
      <c r="HY2" s="327"/>
      <c r="HZ2" s="327"/>
      <c r="IA2" s="327"/>
      <c r="IB2" s="327"/>
      <c r="IC2" s="327"/>
      <c r="ID2" s="327"/>
      <c r="IE2" s="327"/>
      <c r="IF2" s="327"/>
      <c r="IG2" s="327"/>
      <c r="IH2" s="327"/>
      <c r="II2" s="327"/>
      <c r="IJ2" s="327"/>
      <c r="IK2" s="327"/>
      <c r="IL2" s="327"/>
      <c r="IM2" s="327"/>
      <c r="IN2" s="327"/>
      <c r="IO2" s="327"/>
      <c r="IP2" s="327"/>
      <c r="IQ2" s="327"/>
      <c r="IR2" s="327"/>
      <c r="IS2" s="327"/>
      <c r="IT2" s="327"/>
      <c r="IU2" s="327"/>
      <c r="IV2" s="327"/>
    </row>
    <row r="3" spans="1:256" ht="15" customHeight="1">
      <c r="A3" s="239"/>
      <c r="B3" s="239" t="s">
        <v>2</v>
      </c>
      <c r="C3" s="192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  <c r="BE3" s="327"/>
      <c r="BF3" s="327"/>
      <c r="BG3" s="327"/>
      <c r="BH3" s="327"/>
      <c r="BI3" s="327"/>
      <c r="BJ3" s="327"/>
      <c r="BK3" s="327"/>
      <c r="BL3" s="327"/>
      <c r="BM3" s="327"/>
      <c r="BN3" s="327"/>
      <c r="BO3" s="327"/>
      <c r="BP3" s="327"/>
      <c r="BQ3" s="327"/>
      <c r="BR3" s="327"/>
      <c r="BS3" s="327"/>
      <c r="BT3" s="327"/>
      <c r="BU3" s="327"/>
      <c r="BV3" s="327"/>
      <c r="BW3" s="327"/>
      <c r="BX3" s="327"/>
      <c r="BY3" s="327"/>
      <c r="BZ3" s="327"/>
      <c r="CA3" s="327"/>
      <c r="CB3" s="327"/>
      <c r="CC3" s="327"/>
      <c r="CD3" s="327"/>
      <c r="CE3" s="327"/>
      <c r="CF3" s="327"/>
      <c r="CG3" s="327"/>
      <c r="CH3" s="327"/>
      <c r="CI3" s="327"/>
      <c r="CJ3" s="327"/>
      <c r="CK3" s="327"/>
      <c r="CL3" s="327"/>
      <c r="CM3" s="327"/>
      <c r="CN3" s="327"/>
      <c r="CO3" s="327"/>
      <c r="CP3" s="327"/>
      <c r="CQ3" s="327"/>
      <c r="CR3" s="327"/>
      <c r="CS3" s="327"/>
      <c r="CT3" s="327"/>
      <c r="CU3" s="327"/>
      <c r="CV3" s="327"/>
      <c r="CW3" s="327"/>
      <c r="CX3" s="327"/>
      <c r="CY3" s="327"/>
      <c r="CZ3" s="327"/>
      <c r="DA3" s="327"/>
      <c r="DB3" s="327"/>
      <c r="DC3" s="327"/>
      <c r="DD3" s="327"/>
      <c r="DE3" s="327"/>
      <c r="DF3" s="327"/>
      <c r="DG3" s="327"/>
      <c r="DH3" s="327"/>
      <c r="DI3" s="327"/>
      <c r="DJ3" s="327"/>
      <c r="DK3" s="327"/>
      <c r="DL3" s="327"/>
      <c r="DM3" s="327"/>
      <c r="DN3" s="327"/>
      <c r="DO3" s="327"/>
      <c r="DP3" s="327"/>
      <c r="DQ3" s="327"/>
      <c r="DR3" s="327"/>
      <c r="DS3" s="327"/>
      <c r="DT3" s="327"/>
      <c r="DU3" s="327"/>
      <c r="DV3" s="327"/>
      <c r="DW3" s="327"/>
      <c r="DX3" s="327"/>
      <c r="DY3" s="327"/>
      <c r="DZ3" s="327"/>
      <c r="EA3" s="327"/>
      <c r="EB3" s="327"/>
      <c r="EC3" s="327"/>
      <c r="ED3" s="327"/>
      <c r="EE3" s="327"/>
      <c r="EF3" s="327"/>
      <c r="EG3" s="327"/>
      <c r="EH3" s="327"/>
      <c r="EI3" s="327"/>
      <c r="EJ3" s="327"/>
      <c r="EK3" s="327"/>
      <c r="EL3" s="327"/>
      <c r="EM3" s="327"/>
      <c r="EN3" s="327"/>
      <c r="EO3" s="327"/>
      <c r="EP3" s="327"/>
      <c r="EQ3" s="327"/>
      <c r="ER3" s="327"/>
      <c r="ES3" s="327"/>
      <c r="ET3" s="327"/>
      <c r="EU3" s="327"/>
      <c r="EV3" s="327"/>
      <c r="EW3" s="327"/>
      <c r="EX3" s="327"/>
      <c r="EY3" s="327"/>
      <c r="EZ3" s="327"/>
      <c r="FA3" s="327"/>
      <c r="FB3" s="327"/>
      <c r="FC3" s="327"/>
      <c r="FD3" s="327"/>
      <c r="FE3" s="327"/>
      <c r="FF3" s="327"/>
      <c r="FG3" s="327"/>
      <c r="FH3" s="327"/>
      <c r="FI3" s="327"/>
      <c r="FJ3" s="327"/>
      <c r="FK3" s="327"/>
      <c r="FL3" s="327"/>
      <c r="FM3" s="327"/>
      <c r="FN3" s="327"/>
      <c r="FO3" s="327"/>
      <c r="FP3" s="327"/>
      <c r="FQ3" s="327"/>
      <c r="FR3" s="327"/>
      <c r="FS3" s="327"/>
      <c r="FT3" s="327"/>
      <c r="FU3" s="327"/>
      <c r="FV3" s="327"/>
      <c r="FW3" s="327"/>
      <c r="FX3" s="327"/>
      <c r="FY3" s="327"/>
      <c r="FZ3" s="327"/>
      <c r="GA3" s="327"/>
      <c r="GB3" s="327"/>
      <c r="GC3" s="327"/>
      <c r="GD3" s="327"/>
      <c r="GE3" s="327"/>
      <c r="GF3" s="327"/>
      <c r="GG3" s="327"/>
      <c r="GH3" s="327"/>
      <c r="GI3" s="327"/>
      <c r="GJ3" s="327"/>
      <c r="GK3" s="327"/>
      <c r="GL3" s="327"/>
      <c r="GM3" s="327"/>
      <c r="GN3" s="327"/>
      <c r="GO3" s="327"/>
      <c r="GP3" s="327"/>
      <c r="GQ3" s="327"/>
      <c r="GR3" s="327"/>
      <c r="GS3" s="327"/>
      <c r="GT3" s="327"/>
      <c r="GU3" s="327"/>
      <c r="GV3" s="327"/>
      <c r="GW3" s="327"/>
      <c r="GX3" s="327"/>
      <c r="GY3" s="327"/>
      <c r="GZ3" s="327"/>
      <c r="HA3" s="327"/>
      <c r="HB3" s="327"/>
      <c r="HC3" s="327"/>
      <c r="HD3" s="327"/>
      <c r="HE3" s="327"/>
      <c r="HF3" s="327"/>
      <c r="HG3" s="327"/>
      <c r="HH3" s="327"/>
      <c r="HI3" s="327"/>
      <c r="HJ3" s="327"/>
      <c r="HK3" s="327"/>
      <c r="HL3" s="327"/>
      <c r="HM3" s="327"/>
      <c r="HN3" s="327"/>
      <c r="HO3" s="327"/>
      <c r="HP3" s="327"/>
      <c r="HQ3" s="327"/>
      <c r="HR3" s="327"/>
      <c r="HS3" s="327"/>
      <c r="HT3" s="327"/>
      <c r="HU3" s="327"/>
      <c r="HV3" s="327"/>
      <c r="HW3" s="327"/>
      <c r="HX3" s="327"/>
      <c r="HY3" s="327"/>
      <c r="HZ3" s="327"/>
      <c r="IA3" s="327"/>
      <c r="IB3" s="327"/>
      <c r="IC3" s="327"/>
      <c r="ID3" s="327"/>
      <c r="IE3" s="327"/>
      <c r="IF3" s="327"/>
      <c r="IG3" s="327"/>
      <c r="IH3" s="327"/>
      <c r="II3" s="327"/>
      <c r="IJ3" s="327"/>
      <c r="IK3" s="327"/>
      <c r="IL3" s="327"/>
      <c r="IM3" s="327"/>
      <c r="IN3" s="327"/>
      <c r="IO3" s="327"/>
      <c r="IP3" s="327"/>
      <c r="IQ3" s="327"/>
      <c r="IR3" s="327"/>
      <c r="IS3" s="327"/>
      <c r="IT3" s="327"/>
      <c r="IU3" s="327"/>
      <c r="IV3" s="327"/>
    </row>
    <row r="4" spans="1:256" ht="15" customHeight="1">
      <c r="A4" s="239"/>
      <c r="B4" s="239" t="s">
        <v>1260</v>
      </c>
      <c r="C4" s="192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  <c r="AZ4" s="327"/>
      <c r="BA4" s="327"/>
      <c r="BB4" s="327"/>
      <c r="BC4" s="327"/>
      <c r="BD4" s="327"/>
      <c r="BE4" s="327"/>
      <c r="BF4" s="327"/>
      <c r="BG4" s="327"/>
      <c r="BH4" s="327"/>
      <c r="BI4" s="327"/>
      <c r="BJ4" s="327"/>
      <c r="BK4" s="327"/>
      <c r="BL4" s="327"/>
      <c r="BM4" s="327"/>
      <c r="BN4" s="327"/>
      <c r="BO4" s="327"/>
      <c r="BP4" s="327"/>
      <c r="BQ4" s="327"/>
      <c r="BR4" s="327"/>
      <c r="BS4" s="327"/>
      <c r="BT4" s="327"/>
      <c r="BU4" s="327"/>
      <c r="BV4" s="327"/>
      <c r="BW4" s="327"/>
      <c r="BX4" s="327"/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327"/>
      <c r="CL4" s="327"/>
      <c r="CM4" s="327"/>
      <c r="CN4" s="327"/>
      <c r="CO4" s="327"/>
      <c r="CP4" s="327"/>
      <c r="CQ4" s="327"/>
      <c r="CR4" s="327"/>
      <c r="CS4" s="327"/>
      <c r="CT4" s="327"/>
      <c r="CU4" s="327"/>
      <c r="CV4" s="327"/>
      <c r="CW4" s="327"/>
      <c r="CX4" s="327"/>
      <c r="CY4" s="327"/>
      <c r="CZ4" s="327"/>
      <c r="DA4" s="327"/>
      <c r="DB4" s="327"/>
      <c r="DC4" s="327"/>
      <c r="DD4" s="327"/>
      <c r="DE4" s="327"/>
      <c r="DF4" s="327"/>
      <c r="DG4" s="327"/>
      <c r="DH4" s="327"/>
      <c r="DI4" s="327"/>
      <c r="DJ4" s="327"/>
      <c r="DK4" s="327"/>
      <c r="DL4" s="327"/>
      <c r="DM4" s="327"/>
      <c r="DN4" s="327"/>
      <c r="DO4" s="327"/>
      <c r="DP4" s="327"/>
      <c r="DQ4" s="327"/>
      <c r="DR4" s="327"/>
      <c r="DS4" s="327"/>
      <c r="DT4" s="327"/>
      <c r="DU4" s="327"/>
      <c r="DV4" s="327"/>
      <c r="DW4" s="327"/>
      <c r="DX4" s="327"/>
      <c r="DY4" s="327"/>
      <c r="DZ4" s="327"/>
      <c r="EA4" s="327"/>
      <c r="EB4" s="327"/>
      <c r="EC4" s="327"/>
      <c r="ED4" s="327"/>
      <c r="EE4" s="327"/>
      <c r="EF4" s="327"/>
      <c r="EG4" s="327"/>
      <c r="EH4" s="327"/>
      <c r="EI4" s="327"/>
      <c r="EJ4" s="327"/>
      <c r="EK4" s="327"/>
      <c r="EL4" s="327"/>
      <c r="EM4" s="327"/>
      <c r="EN4" s="327"/>
      <c r="EO4" s="327"/>
      <c r="EP4" s="327"/>
      <c r="EQ4" s="327"/>
      <c r="ER4" s="327"/>
      <c r="ES4" s="327"/>
      <c r="ET4" s="327"/>
      <c r="EU4" s="327"/>
      <c r="EV4" s="327"/>
      <c r="EW4" s="327"/>
      <c r="EX4" s="327"/>
      <c r="EY4" s="327"/>
      <c r="EZ4" s="327"/>
      <c r="FA4" s="327"/>
      <c r="FB4" s="327"/>
      <c r="FC4" s="327"/>
      <c r="FD4" s="327"/>
      <c r="FE4" s="327"/>
      <c r="FF4" s="327"/>
      <c r="FG4" s="327"/>
      <c r="FH4" s="327"/>
      <c r="FI4" s="327"/>
      <c r="FJ4" s="327"/>
      <c r="FK4" s="327"/>
      <c r="FL4" s="327"/>
      <c r="FM4" s="327"/>
      <c r="FN4" s="327"/>
      <c r="FO4" s="327"/>
      <c r="FP4" s="327"/>
      <c r="FQ4" s="327"/>
      <c r="FR4" s="327"/>
      <c r="FS4" s="327"/>
      <c r="FT4" s="327"/>
      <c r="FU4" s="327"/>
      <c r="FV4" s="327"/>
      <c r="FW4" s="327"/>
      <c r="FX4" s="327"/>
      <c r="FY4" s="327"/>
      <c r="FZ4" s="327"/>
      <c r="GA4" s="327"/>
      <c r="GB4" s="327"/>
      <c r="GC4" s="327"/>
      <c r="GD4" s="327"/>
      <c r="GE4" s="327"/>
      <c r="GF4" s="327"/>
      <c r="GG4" s="327"/>
      <c r="GH4" s="327"/>
      <c r="GI4" s="327"/>
      <c r="GJ4" s="327"/>
      <c r="GK4" s="327"/>
      <c r="GL4" s="327"/>
      <c r="GM4" s="327"/>
      <c r="GN4" s="327"/>
      <c r="GO4" s="327"/>
      <c r="GP4" s="327"/>
      <c r="GQ4" s="327"/>
      <c r="GR4" s="327"/>
      <c r="GS4" s="327"/>
      <c r="GT4" s="327"/>
      <c r="GU4" s="327"/>
      <c r="GV4" s="327"/>
      <c r="GW4" s="327"/>
      <c r="GX4" s="327"/>
      <c r="GY4" s="327"/>
      <c r="GZ4" s="327"/>
      <c r="HA4" s="327"/>
      <c r="HB4" s="327"/>
      <c r="HC4" s="327"/>
      <c r="HD4" s="327"/>
      <c r="HE4" s="327"/>
      <c r="HF4" s="327"/>
      <c r="HG4" s="327"/>
      <c r="HH4" s="327"/>
      <c r="HI4" s="327"/>
      <c r="HJ4" s="327"/>
      <c r="HK4" s="327"/>
      <c r="HL4" s="327"/>
      <c r="HM4" s="327"/>
      <c r="HN4" s="327"/>
      <c r="HO4" s="327"/>
      <c r="HP4" s="327"/>
      <c r="HQ4" s="327"/>
      <c r="HR4" s="327"/>
      <c r="HS4" s="327"/>
      <c r="HT4" s="327"/>
      <c r="HU4" s="327"/>
      <c r="HV4" s="327"/>
      <c r="HW4" s="327"/>
      <c r="HX4" s="327"/>
      <c r="HY4" s="327"/>
      <c r="HZ4" s="327"/>
      <c r="IA4" s="327"/>
      <c r="IB4" s="327"/>
      <c r="IC4" s="327"/>
      <c r="ID4" s="327"/>
      <c r="IE4" s="327"/>
      <c r="IF4" s="327"/>
      <c r="IG4" s="327"/>
      <c r="IH4" s="327"/>
      <c r="II4" s="327"/>
      <c r="IJ4" s="327"/>
      <c r="IK4" s="327"/>
      <c r="IL4" s="327"/>
      <c r="IM4" s="327"/>
      <c r="IN4" s="327"/>
      <c r="IO4" s="327"/>
      <c r="IP4" s="327"/>
      <c r="IQ4" s="327"/>
      <c r="IR4" s="327"/>
      <c r="IS4" s="327"/>
      <c r="IT4" s="327"/>
      <c r="IU4" s="327"/>
      <c r="IV4" s="327"/>
    </row>
    <row r="5" spans="1:256" ht="15" customHeight="1">
      <c r="A5" s="568" t="s">
        <v>1171</v>
      </c>
      <c r="B5" s="568"/>
      <c r="C5" s="192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327"/>
      <c r="BF5" s="327"/>
      <c r="BG5" s="327"/>
      <c r="BH5" s="327"/>
      <c r="BI5" s="327"/>
      <c r="BJ5" s="327"/>
      <c r="BK5" s="327"/>
      <c r="BL5" s="327"/>
      <c r="BM5" s="327"/>
      <c r="BN5" s="327"/>
      <c r="BO5" s="327"/>
      <c r="BP5" s="327"/>
      <c r="BQ5" s="327"/>
      <c r="BR5" s="327"/>
      <c r="BS5" s="327"/>
      <c r="BT5" s="327"/>
      <c r="BU5" s="327"/>
      <c r="BV5" s="327"/>
      <c r="BW5" s="327"/>
      <c r="BX5" s="327"/>
      <c r="BY5" s="327"/>
      <c r="BZ5" s="327"/>
      <c r="CA5" s="327"/>
      <c r="CB5" s="327"/>
      <c r="CC5" s="327"/>
      <c r="CD5" s="327"/>
      <c r="CE5" s="327"/>
      <c r="CF5" s="327"/>
      <c r="CG5" s="327"/>
      <c r="CH5" s="327"/>
      <c r="CI5" s="327"/>
      <c r="CJ5" s="327"/>
      <c r="CK5" s="327"/>
      <c r="CL5" s="327"/>
      <c r="CM5" s="327"/>
      <c r="CN5" s="327"/>
      <c r="CO5" s="327"/>
      <c r="CP5" s="327"/>
      <c r="CQ5" s="327"/>
      <c r="CR5" s="327"/>
      <c r="CS5" s="327"/>
      <c r="CT5" s="327"/>
      <c r="CU5" s="327"/>
      <c r="CV5" s="327"/>
      <c r="CW5" s="327"/>
      <c r="CX5" s="327"/>
      <c r="CY5" s="327"/>
      <c r="CZ5" s="327"/>
      <c r="DA5" s="327"/>
      <c r="DB5" s="327"/>
      <c r="DC5" s="327"/>
      <c r="DD5" s="327"/>
      <c r="DE5" s="327"/>
      <c r="DF5" s="327"/>
      <c r="DG5" s="327"/>
      <c r="DH5" s="327"/>
      <c r="DI5" s="327"/>
      <c r="DJ5" s="327"/>
      <c r="DK5" s="327"/>
      <c r="DL5" s="327"/>
      <c r="DM5" s="327"/>
      <c r="DN5" s="327"/>
      <c r="DO5" s="327"/>
      <c r="DP5" s="327"/>
      <c r="DQ5" s="327"/>
      <c r="DR5" s="327"/>
      <c r="DS5" s="327"/>
      <c r="DT5" s="327"/>
      <c r="DU5" s="327"/>
      <c r="DV5" s="327"/>
      <c r="DW5" s="327"/>
      <c r="DX5" s="327"/>
      <c r="DY5" s="327"/>
      <c r="DZ5" s="327"/>
      <c r="EA5" s="327"/>
      <c r="EB5" s="327"/>
      <c r="EC5" s="327"/>
      <c r="ED5" s="327"/>
      <c r="EE5" s="327"/>
      <c r="EF5" s="327"/>
      <c r="EG5" s="327"/>
      <c r="EH5" s="327"/>
      <c r="EI5" s="327"/>
      <c r="EJ5" s="327"/>
      <c r="EK5" s="327"/>
      <c r="EL5" s="327"/>
      <c r="EM5" s="327"/>
      <c r="EN5" s="327"/>
      <c r="EO5" s="327"/>
      <c r="EP5" s="327"/>
      <c r="EQ5" s="327"/>
      <c r="ER5" s="327"/>
      <c r="ES5" s="327"/>
      <c r="ET5" s="327"/>
      <c r="EU5" s="327"/>
      <c r="EV5" s="327"/>
      <c r="EW5" s="327"/>
      <c r="EX5" s="327"/>
      <c r="EY5" s="327"/>
      <c r="EZ5" s="327"/>
      <c r="FA5" s="327"/>
      <c r="FB5" s="327"/>
      <c r="FC5" s="327"/>
      <c r="FD5" s="327"/>
      <c r="FE5" s="327"/>
      <c r="FF5" s="327"/>
      <c r="FG5" s="327"/>
      <c r="FH5" s="327"/>
      <c r="FI5" s="327"/>
      <c r="FJ5" s="327"/>
      <c r="FK5" s="327"/>
      <c r="FL5" s="327"/>
      <c r="FM5" s="327"/>
      <c r="FN5" s="327"/>
      <c r="FO5" s="327"/>
      <c r="FP5" s="327"/>
      <c r="FQ5" s="327"/>
      <c r="FR5" s="327"/>
      <c r="FS5" s="327"/>
      <c r="FT5" s="327"/>
      <c r="FU5" s="327"/>
      <c r="FV5" s="327"/>
      <c r="FW5" s="327"/>
      <c r="FX5" s="327"/>
      <c r="FY5" s="327"/>
      <c r="FZ5" s="327"/>
      <c r="GA5" s="327"/>
      <c r="GB5" s="327"/>
      <c r="GC5" s="327"/>
      <c r="GD5" s="327"/>
      <c r="GE5" s="327"/>
      <c r="GF5" s="327"/>
      <c r="GG5" s="327"/>
      <c r="GH5" s="327"/>
      <c r="GI5" s="327"/>
      <c r="GJ5" s="327"/>
      <c r="GK5" s="327"/>
      <c r="GL5" s="327"/>
      <c r="GM5" s="327"/>
      <c r="GN5" s="327"/>
      <c r="GO5" s="327"/>
      <c r="GP5" s="327"/>
      <c r="GQ5" s="327"/>
      <c r="GR5" s="327"/>
      <c r="GS5" s="327"/>
      <c r="GT5" s="327"/>
      <c r="GU5" s="327"/>
      <c r="GV5" s="327"/>
      <c r="GW5" s="327"/>
      <c r="GX5" s="327"/>
      <c r="GY5" s="327"/>
      <c r="GZ5" s="327"/>
      <c r="HA5" s="327"/>
      <c r="HB5" s="327"/>
      <c r="HC5" s="327"/>
      <c r="HD5" s="327"/>
      <c r="HE5" s="327"/>
      <c r="HF5" s="327"/>
      <c r="HG5" s="327"/>
      <c r="HH5" s="327"/>
      <c r="HI5" s="327"/>
      <c r="HJ5" s="327"/>
      <c r="HK5" s="327"/>
      <c r="HL5" s="327"/>
      <c r="HM5" s="327"/>
      <c r="HN5" s="327"/>
      <c r="HO5" s="327"/>
      <c r="HP5" s="327"/>
      <c r="HQ5" s="327"/>
      <c r="HR5" s="327"/>
      <c r="HS5" s="327"/>
      <c r="HT5" s="327"/>
      <c r="HU5" s="327"/>
      <c r="HV5" s="327"/>
      <c r="HW5" s="327"/>
      <c r="HX5" s="327"/>
      <c r="HY5" s="327"/>
      <c r="HZ5" s="327"/>
      <c r="IA5" s="327"/>
      <c r="IB5" s="327"/>
      <c r="IC5" s="327"/>
      <c r="ID5" s="327"/>
      <c r="IE5" s="327"/>
      <c r="IF5" s="327"/>
      <c r="IG5" s="327"/>
      <c r="IH5" s="327"/>
      <c r="II5" s="327"/>
      <c r="IJ5" s="327"/>
      <c r="IK5" s="327"/>
      <c r="IL5" s="327"/>
      <c r="IM5" s="327"/>
      <c r="IN5" s="327"/>
      <c r="IO5" s="327"/>
      <c r="IP5" s="327"/>
      <c r="IQ5" s="327"/>
      <c r="IR5" s="327"/>
      <c r="IS5" s="327"/>
      <c r="IT5" s="327"/>
      <c r="IU5" s="327"/>
      <c r="IV5" s="327"/>
    </row>
    <row r="6" spans="1:256" ht="15">
      <c r="A6" s="268"/>
      <c r="B6" s="268"/>
      <c r="C6" s="192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327"/>
      <c r="CL6" s="327"/>
      <c r="CM6" s="327"/>
      <c r="CN6" s="327"/>
      <c r="CO6" s="327"/>
      <c r="CP6" s="327"/>
      <c r="CQ6" s="327"/>
      <c r="CR6" s="327"/>
      <c r="CS6" s="327"/>
      <c r="CT6" s="327"/>
      <c r="CU6" s="327"/>
      <c r="CV6" s="327"/>
      <c r="CW6" s="327"/>
      <c r="CX6" s="327"/>
      <c r="CY6" s="327"/>
      <c r="CZ6" s="327"/>
      <c r="DA6" s="327"/>
      <c r="DB6" s="327"/>
      <c r="DC6" s="327"/>
      <c r="DD6" s="327"/>
      <c r="DE6" s="327"/>
      <c r="DF6" s="327"/>
      <c r="DG6" s="327"/>
      <c r="DH6" s="327"/>
      <c r="DI6" s="327"/>
      <c r="DJ6" s="327"/>
      <c r="DK6" s="327"/>
      <c r="DL6" s="327"/>
      <c r="DM6" s="327"/>
      <c r="DN6" s="327"/>
      <c r="DO6" s="327"/>
      <c r="DP6" s="327"/>
      <c r="DQ6" s="327"/>
      <c r="DR6" s="327"/>
      <c r="DS6" s="327"/>
      <c r="DT6" s="327"/>
      <c r="DU6" s="327"/>
      <c r="DV6" s="327"/>
      <c r="DW6" s="327"/>
      <c r="DX6" s="327"/>
      <c r="DY6" s="327"/>
      <c r="DZ6" s="327"/>
      <c r="EA6" s="327"/>
      <c r="EB6" s="327"/>
      <c r="EC6" s="327"/>
      <c r="ED6" s="327"/>
      <c r="EE6" s="327"/>
      <c r="EF6" s="327"/>
      <c r="EG6" s="327"/>
      <c r="EH6" s="327"/>
      <c r="EI6" s="327"/>
      <c r="EJ6" s="327"/>
      <c r="EK6" s="327"/>
      <c r="EL6" s="327"/>
      <c r="EM6" s="327"/>
      <c r="EN6" s="327"/>
      <c r="EO6" s="327"/>
      <c r="EP6" s="327"/>
      <c r="EQ6" s="327"/>
      <c r="ER6" s="327"/>
      <c r="ES6" s="327"/>
      <c r="ET6" s="327"/>
      <c r="EU6" s="327"/>
      <c r="EV6" s="327"/>
      <c r="EW6" s="327"/>
      <c r="EX6" s="327"/>
      <c r="EY6" s="327"/>
      <c r="EZ6" s="327"/>
      <c r="FA6" s="327"/>
      <c r="FB6" s="327"/>
      <c r="FC6" s="327"/>
      <c r="FD6" s="327"/>
      <c r="FE6" s="327"/>
      <c r="FF6" s="327"/>
      <c r="FG6" s="327"/>
      <c r="FH6" s="327"/>
      <c r="FI6" s="327"/>
      <c r="FJ6" s="327"/>
      <c r="FK6" s="327"/>
      <c r="FL6" s="327"/>
      <c r="FM6" s="327"/>
      <c r="FN6" s="327"/>
      <c r="FO6" s="327"/>
      <c r="FP6" s="327"/>
      <c r="FQ6" s="327"/>
      <c r="FR6" s="327"/>
      <c r="FS6" s="327"/>
      <c r="FT6" s="327"/>
      <c r="FU6" s="327"/>
      <c r="FV6" s="327"/>
      <c r="FW6" s="327"/>
      <c r="FX6" s="327"/>
      <c r="FY6" s="327"/>
      <c r="FZ6" s="327"/>
      <c r="GA6" s="327"/>
      <c r="GB6" s="327"/>
      <c r="GC6" s="327"/>
      <c r="GD6" s="327"/>
      <c r="GE6" s="327"/>
      <c r="GF6" s="327"/>
      <c r="GG6" s="327"/>
      <c r="GH6" s="327"/>
      <c r="GI6" s="327"/>
      <c r="GJ6" s="327"/>
      <c r="GK6" s="327"/>
      <c r="GL6" s="327"/>
      <c r="GM6" s="327"/>
      <c r="GN6" s="327"/>
      <c r="GO6" s="327"/>
      <c r="GP6" s="327"/>
      <c r="GQ6" s="327"/>
      <c r="GR6" s="327"/>
      <c r="GS6" s="327"/>
      <c r="GT6" s="327"/>
      <c r="GU6" s="327"/>
      <c r="GV6" s="327"/>
      <c r="GW6" s="327"/>
      <c r="GX6" s="327"/>
      <c r="GY6" s="327"/>
      <c r="GZ6" s="327"/>
      <c r="HA6" s="327"/>
      <c r="HB6" s="327"/>
      <c r="HC6" s="327"/>
      <c r="HD6" s="327"/>
      <c r="HE6" s="327"/>
      <c r="HF6" s="327"/>
      <c r="HG6" s="327"/>
      <c r="HH6" s="327"/>
      <c r="HI6" s="327"/>
      <c r="HJ6" s="327"/>
      <c r="HK6" s="327"/>
      <c r="HL6" s="327"/>
      <c r="HM6" s="327"/>
      <c r="HN6" s="327"/>
      <c r="HO6" s="327"/>
      <c r="HP6" s="327"/>
      <c r="HQ6" s="327"/>
      <c r="HR6" s="327"/>
      <c r="HS6" s="327"/>
      <c r="HT6" s="327"/>
      <c r="HU6" s="327"/>
      <c r="HV6" s="327"/>
      <c r="HW6" s="327"/>
      <c r="HX6" s="327"/>
      <c r="HY6" s="327"/>
      <c r="HZ6" s="327"/>
      <c r="IA6" s="327"/>
      <c r="IB6" s="327"/>
      <c r="IC6" s="327"/>
      <c r="ID6" s="327"/>
      <c r="IE6" s="327"/>
      <c r="IF6" s="327"/>
      <c r="IG6" s="327"/>
      <c r="IH6" s="327"/>
      <c r="II6" s="327"/>
      <c r="IJ6" s="327"/>
      <c r="IK6" s="327"/>
      <c r="IL6" s="327"/>
      <c r="IM6" s="327"/>
      <c r="IN6" s="327"/>
      <c r="IO6" s="327"/>
      <c r="IP6" s="327"/>
      <c r="IQ6" s="327"/>
      <c r="IR6" s="327"/>
      <c r="IS6" s="327"/>
      <c r="IT6" s="327"/>
      <c r="IU6" s="327"/>
      <c r="IV6" s="327"/>
    </row>
    <row r="8" spans="1:2" ht="62.25" customHeight="1">
      <c r="A8" s="569" t="s">
        <v>1172</v>
      </c>
      <c r="B8" s="569"/>
    </row>
    <row r="9" ht="14.25" customHeight="1"/>
    <row r="10" ht="18.75" customHeight="1"/>
    <row r="11" spans="1:256" ht="35.25" customHeight="1">
      <c r="A11" s="381" t="s">
        <v>1173</v>
      </c>
      <c r="B11" s="382" t="s">
        <v>22</v>
      </c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3"/>
      <c r="AM11" s="383"/>
      <c r="AN11" s="383"/>
      <c r="AO11" s="383"/>
      <c r="AP11" s="383"/>
      <c r="AQ11" s="383"/>
      <c r="AR11" s="383"/>
      <c r="AS11" s="383"/>
      <c r="AT11" s="383"/>
      <c r="AU11" s="383"/>
      <c r="AV11" s="383"/>
      <c r="AW11" s="383"/>
      <c r="AX11" s="383"/>
      <c r="AY11" s="383"/>
      <c r="AZ11" s="383"/>
      <c r="BA11" s="383"/>
      <c r="BB11" s="383"/>
      <c r="BC11" s="383"/>
      <c r="BD11" s="383"/>
      <c r="BE11" s="383"/>
      <c r="BF11" s="383"/>
      <c r="BG11" s="383"/>
      <c r="BH11" s="383"/>
      <c r="BI11" s="383"/>
      <c r="BJ11" s="383"/>
      <c r="BK11" s="383"/>
      <c r="BL11" s="383"/>
      <c r="BM11" s="383"/>
      <c r="BN11" s="383"/>
      <c r="BO11" s="383"/>
      <c r="BP11" s="383"/>
      <c r="BQ11" s="383"/>
      <c r="BR11" s="383"/>
      <c r="BS11" s="383"/>
      <c r="BT11" s="383"/>
      <c r="BU11" s="383"/>
      <c r="BV11" s="383"/>
      <c r="BW11" s="383"/>
      <c r="BX11" s="383"/>
      <c r="BY11" s="383"/>
      <c r="BZ11" s="383"/>
      <c r="CA11" s="383"/>
      <c r="CB11" s="383"/>
      <c r="CC11" s="383"/>
      <c r="CD11" s="383"/>
      <c r="CE11" s="383"/>
      <c r="CF11" s="383"/>
      <c r="CG11" s="383"/>
      <c r="CH11" s="383"/>
      <c r="CI11" s="383"/>
      <c r="CJ11" s="383"/>
      <c r="CK11" s="383"/>
      <c r="CL11" s="383"/>
      <c r="CM11" s="383"/>
      <c r="CN11" s="383"/>
      <c r="CO11" s="383"/>
      <c r="CP11" s="383"/>
      <c r="CQ11" s="383"/>
      <c r="CR11" s="383"/>
      <c r="CS11" s="383"/>
      <c r="CT11" s="383"/>
      <c r="CU11" s="383"/>
      <c r="CV11" s="383"/>
      <c r="CW11" s="383"/>
      <c r="CX11" s="383"/>
      <c r="CY11" s="383"/>
      <c r="CZ11" s="383"/>
      <c r="DA11" s="383"/>
      <c r="DB11" s="383"/>
      <c r="DC11" s="383"/>
      <c r="DD11" s="383"/>
      <c r="DE11" s="383"/>
      <c r="DF11" s="383"/>
      <c r="DG11" s="383"/>
      <c r="DH11" s="383"/>
      <c r="DI11" s="383"/>
      <c r="DJ11" s="383"/>
      <c r="DK11" s="383"/>
      <c r="DL11" s="383"/>
      <c r="DM11" s="383"/>
      <c r="DN11" s="383"/>
      <c r="DO11" s="383"/>
      <c r="DP11" s="383"/>
      <c r="DQ11" s="383"/>
      <c r="DR11" s="383"/>
      <c r="DS11" s="383"/>
      <c r="DT11" s="383"/>
      <c r="DU11" s="383"/>
      <c r="DV11" s="383"/>
      <c r="DW11" s="383"/>
      <c r="DX11" s="383"/>
      <c r="DY11" s="383"/>
      <c r="DZ11" s="383"/>
      <c r="EA11" s="383"/>
      <c r="EB11" s="383"/>
      <c r="EC11" s="383"/>
      <c r="ED11" s="383"/>
      <c r="EE11" s="383"/>
      <c r="EF11" s="383"/>
      <c r="EG11" s="383"/>
      <c r="EH11" s="383"/>
      <c r="EI11" s="383"/>
      <c r="EJ11" s="383"/>
      <c r="EK11" s="383"/>
      <c r="EL11" s="383"/>
      <c r="EM11" s="383"/>
      <c r="EN11" s="383"/>
      <c r="EO11" s="383"/>
      <c r="EP11" s="383"/>
      <c r="EQ11" s="383"/>
      <c r="ER11" s="383"/>
      <c r="ES11" s="383"/>
      <c r="ET11" s="383"/>
      <c r="EU11" s="383"/>
      <c r="EV11" s="383"/>
      <c r="EW11" s="383"/>
      <c r="EX11" s="383"/>
      <c r="EY11" s="383"/>
      <c r="EZ11" s="383"/>
      <c r="FA11" s="383"/>
      <c r="FB11" s="383"/>
      <c r="FC11" s="383"/>
      <c r="FD11" s="383"/>
      <c r="FE11" s="383"/>
      <c r="FF11" s="383"/>
      <c r="FG11" s="383"/>
      <c r="FH11" s="383"/>
      <c r="FI11" s="383"/>
      <c r="FJ11" s="383"/>
      <c r="FK11" s="383"/>
      <c r="FL11" s="383"/>
      <c r="FM11" s="383"/>
      <c r="FN11" s="383"/>
      <c r="FO11" s="383"/>
      <c r="FP11" s="383"/>
      <c r="FQ11" s="383"/>
      <c r="FR11" s="383"/>
      <c r="FS11" s="383"/>
      <c r="FT11" s="383"/>
      <c r="FU11" s="383"/>
      <c r="FV11" s="383"/>
      <c r="FW11" s="383"/>
      <c r="FX11" s="383"/>
      <c r="FY11" s="383"/>
      <c r="FZ11" s="383"/>
      <c r="GA11" s="383"/>
      <c r="GB11" s="383"/>
      <c r="GC11" s="383"/>
      <c r="GD11" s="383"/>
      <c r="GE11" s="383"/>
      <c r="GF11" s="383"/>
      <c r="GG11" s="383"/>
      <c r="GH11" s="383"/>
      <c r="GI11" s="383"/>
      <c r="GJ11" s="383"/>
      <c r="GK11" s="383"/>
      <c r="GL11" s="383"/>
      <c r="GM11" s="383"/>
      <c r="GN11" s="383"/>
      <c r="GO11" s="383"/>
      <c r="GP11" s="383"/>
      <c r="GQ11" s="383"/>
      <c r="GR11" s="383"/>
      <c r="GS11" s="383"/>
      <c r="GT11" s="383"/>
      <c r="GU11" s="383"/>
      <c r="GV11" s="383"/>
      <c r="GW11" s="383"/>
      <c r="GX11" s="383"/>
      <c r="GY11" s="383"/>
      <c r="GZ11" s="383"/>
      <c r="HA11" s="383"/>
      <c r="HB11" s="383"/>
      <c r="HC11" s="383"/>
      <c r="HD11" s="383"/>
      <c r="HE11" s="383"/>
      <c r="HF11" s="383"/>
      <c r="HG11" s="383"/>
      <c r="HH11" s="383"/>
      <c r="HI11" s="383"/>
      <c r="HJ11" s="383"/>
      <c r="HK11" s="383"/>
      <c r="HL11" s="383"/>
      <c r="HM11" s="383"/>
      <c r="HN11" s="383"/>
      <c r="HO11" s="383"/>
      <c r="HP11" s="383"/>
      <c r="HQ11" s="383"/>
      <c r="HR11" s="383"/>
      <c r="HS11" s="383"/>
      <c r="HT11" s="383"/>
      <c r="HU11" s="383"/>
      <c r="HV11" s="383"/>
      <c r="HW11" s="383"/>
      <c r="HX11" s="383"/>
      <c r="HY11" s="383"/>
      <c r="HZ11" s="383"/>
      <c r="IA11" s="383"/>
      <c r="IB11" s="383"/>
      <c r="IC11" s="383"/>
      <c r="ID11" s="383"/>
      <c r="IE11" s="383"/>
      <c r="IF11" s="383"/>
      <c r="IG11" s="383"/>
      <c r="IH11" s="383"/>
      <c r="II11" s="383"/>
      <c r="IJ11" s="383"/>
      <c r="IK11" s="383"/>
      <c r="IL11" s="383"/>
      <c r="IM11" s="383"/>
      <c r="IN11" s="383"/>
      <c r="IO11" s="383"/>
      <c r="IP11" s="383"/>
      <c r="IQ11" s="383"/>
      <c r="IR11" s="383"/>
      <c r="IS11" s="383"/>
      <c r="IT11" s="383"/>
      <c r="IU11" s="383"/>
      <c r="IV11" s="383"/>
    </row>
    <row r="12" spans="1:256" ht="42.75" customHeight="1">
      <c r="A12" s="89" t="s">
        <v>1174</v>
      </c>
      <c r="B12" s="384">
        <v>400</v>
      </c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383"/>
      <c r="AM12" s="383"/>
      <c r="AN12" s="383"/>
      <c r="AO12" s="383"/>
      <c r="AP12" s="383"/>
      <c r="AQ12" s="383"/>
      <c r="AR12" s="383"/>
      <c r="AS12" s="383"/>
      <c r="AT12" s="383"/>
      <c r="AU12" s="383"/>
      <c r="AV12" s="383"/>
      <c r="AW12" s="383"/>
      <c r="AX12" s="383"/>
      <c r="AY12" s="383"/>
      <c r="AZ12" s="383"/>
      <c r="BA12" s="383"/>
      <c r="BB12" s="383"/>
      <c r="BC12" s="383"/>
      <c r="BD12" s="383"/>
      <c r="BE12" s="383"/>
      <c r="BF12" s="383"/>
      <c r="BG12" s="383"/>
      <c r="BH12" s="383"/>
      <c r="BI12" s="383"/>
      <c r="BJ12" s="383"/>
      <c r="BK12" s="383"/>
      <c r="BL12" s="383"/>
      <c r="BM12" s="383"/>
      <c r="BN12" s="383"/>
      <c r="BO12" s="383"/>
      <c r="BP12" s="383"/>
      <c r="BQ12" s="383"/>
      <c r="BR12" s="383"/>
      <c r="BS12" s="383"/>
      <c r="BT12" s="383"/>
      <c r="BU12" s="383"/>
      <c r="BV12" s="383"/>
      <c r="BW12" s="383"/>
      <c r="BX12" s="383"/>
      <c r="BY12" s="383"/>
      <c r="BZ12" s="383"/>
      <c r="CA12" s="383"/>
      <c r="CB12" s="383"/>
      <c r="CC12" s="383"/>
      <c r="CD12" s="383"/>
      <c r="CE12" s="383"/>
      <c r="CF12" s="383"/>
      <c r="CG12" s="383"/>
      <c r="CH12" s="383"/>
      <c r="CI12" s="383"/>
      <c r="CJ12" s="383"/>
      <c r="CK12" s="383"/>
      <c r="CL12" s="383"/>
      <c r="CM12" s="383"/>
      <c r="CN12" s="383"/>
      <c r="CO12" s="383"/>
      <c r="CP12" s="383"/>
      <c r="CQ12" s="383"/>
      <c r="CR12" s="383"/>
      <c r="CS12" s="383"/>
      <c r="CT12" s="383"/>
      <c r="CU12" s="383"/>
      <c r="CV12" s="383"/>
      <c r="CW12" s="383"/>
      <c r="CX12" s="383"/>
      <c r="CY12" s="383"/>
      <c r="CZ12" s="383"/>
      <c r="DA12" s="383"/>
      <c r="DB12" s="383"/>
      <c r="DC12" s="383"/>
      <c r="DD12" s="383"/>
      <c r="DE12" s="383"/>
      <c r="DF12" s="383"/>
      <c r="DG12" s="383"/>
      <c r="DH12" s="383"/>
      <c r="DI12" s="383"/>
      <c r="DJ12" s="383"/>
      <c r="DK12" s="383"/>
      <c r="DL12" s="383"/>
      <c r="DM12" s="383"/>
      <c r="DN12" s="383"/>
      <c r="DO12" s="383"/>
      <c r="DP12" s="383"/>
      <c r="DQ12" s="383"/>
      <c r="DR12" s="383"/>
      <c r="DS12" s="383"/>
      <c r="DT12" s="383"/>
      <c r="DU12" s="383"/>
      <c r="DV12" s="383"/>
      <c r="DW12" s="383"/>
      <c r="DX12" s="383"/>
      <c r="DY12" s="383"/>
      <c r="DZ12" s="383"/>
      <c r="EA12" s="383"/>
      <c r="EB12" s="383"/>
      <c r="EC12" s="383"/>
      <c r="ED12" s="383"/>
      <c r="EE12" s="383"/>
      <c r="EF12" s="383"/>
      <c r="EG12" s="383"/>
      <c r="EH12" s="383"/>
      <c r="EI12" s="383"/>
      <c r="EJ12" s="383"/>
      <c r="EK12" s="383"/>
      <c r="EL12" s="383"/>
      <c r="EM12" s="383"/>
      <c r="EN12" s="383"/>
      <c r="EO12" s="383"/>
      <c r="EP12" s="383"/>
      <c r="EQ12" s="383"/>
      <c r="ER12" s="383"/>
      <c r="ES12" s="383"/>
      <c r="ET12" s="383"/>
      <c r="EU12" s="383"/>
      <c r="EV12" s="383"/>
      <c r="EW12" s="383"/>
      <c r="EX12" s="383"/>
      <c r="EY12" s="383"/>
      <c r="EZ12" s="383"/>
      <c r="FA12" s="383"/>
      <c r="FB12" s="383"/>
      <c r="FC12" s="383"/>
      <c r="FD12" s="383"/>
      <c r="FE12" s="383"/>
      <c r="FF12" s="383"/>
      <c r="FG12" s="383"/>
      <c r="FH12" s="383"/>
      <c r="FI12" s="383"/>
      <c r="FJ12" s="383"/>
      <c r="FK12" s="383"/>
      <c r="FL12" s="383"/>
      <c r="FM12" s="383"/>
      <c r="FN12" s="383"/>
      <c r="FO12" s="383"/>
      <c r="FP12" s="383"/>
      <c r="FQ12" s="383"/>
      <c r="FR12" s="383"/>
      <c r="FS12" s="383"/>
      <c r="FT12" s="383"/>
      <c r="FU12" s="383"/>
      <c r="FV12" s="383"/>
      <c r="FW12" s="383"/>
      <c r="FX12" s="383"/>
      <c r="FY12" s="383"/>
      <c r="FZ12" s="383"/>
      <c r="GA12" s="383"/>
      <c r="GB12" s="383"/>
      <c r="GC12" s="383"/>
      <c r="GD12" s="383"/>
      <c r="GE12" s="383"/>
      <c r="GF12" s="383"/>
      <c r="GG12" s="383"/>
      <c r="GH12" s="383"/>
      <c r="GI12" s="383"/>
      <c r="GJ12" s="383"/>
      <c r="GK12" s="383"/>
      <c r="GL12" s="383"/>
      <c r="GM12" s="383"/>
      <c r="GN12" s="383"/>
      <c r="GO12" s="383"/>
      <c r="GP12" s="383"/>
      <c r="GQ12" s="383"/>
      <c r="GR12" s="383"/>
      <c r="GS12" s="383"/>
      <c r="GT12" s="383"/>
      <c r="GU12" s="383"/>
      <c r="GV12" s="383"/>
      <c r="GW12" s="383"/>
      <c r="GX12" s="383"/>
      <c r="GY12" s="383"/>
      <c r="GZ12" s="383"/>
      <c r="HA12" s="383"/>
      <c r="HB12" s="383"/>
      <c r="HC12" s="383"/>
      <c r="HD12" s="383"/>
      <c r="HE12" s="383"/>
      <c r="HF12" s="383"/>
      <c r="HG12" s="383"/>
      <c r="HH12" s="383"/>
      <c r="HI12" s="383"/>
      <c r="HJ12" s="383"/>
      <c r="HK12" s="383"/>
      <c r="HL12" s="383"/>
      <c r="HM12" s="383"/>
      <c r="HN12" s="383"/>
      <c r="HO12" s="383"/>
      <c r="HP12" s="383"/>
      <c r="HQ12" s="383"/>
      <c r="HR12" s="383"/>
      <c r="HS12" s="383"/>
      <c r="HT12" s="383"/>
      <c r="HU12" s="383"/>
      <c r="HV12" s="383"/>
      <c r="HW12" s="383"/>
      <c r="HX12" s="383"/>
      <c r="HY12" s="383"/>
      <c r="HZ12" s="383"/>
      <c r="IA12" s="383"/>
      <c r="IB12" s="383"/>
      <c r="IC12" s="383"/>
      <c r="ID12" s="383"/>
      <c r="IE12" s="383"/>
      <c r="IF12" s="383"/>
      <c r="IG12" s="383"/>
      <c r="IH12" s="383"/>
      <c r="II12" s="383"/>
      <c r="IJ12" s="383"/>
      <c r="IK12" s="383"/>
      <c r="IL12" s="383"/>
      <c r="IM12" s="383"/>
      <c r="IN12" s="383"/>
      <c r="IO12" s="383"/>
      <c r="IP12" s="383"/>
      <c r="IQ12" s="383"/>
      <c r="IR12" s="383"/>
      <c r="IS12" s="383"/>
      <c r="IT12" s="383"/>
      <c r="IU12" s="383"/>
      <c r="IV12" s="383"/>
    </row>
    <row r="13" spans="1:256" ht="42.75" customHeight="1">
      <c r="A13" s="89" t="s">
        <v>1175</v>
      </c>
      <c r="B13" s="384">
        <f>200+90+68.7</f>
        <v>358.7</v>
      </c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385"/>
      <c r="AM13" s="385"/>
      <c r="AN13" s="385"/>
      <c r="AO13" s="385"/>
      <c r="AP13" s="385"/>
      <c r="AQ13" s="385"/>
      <c r="AR13" s="385"/>
      <c r="AS13" s="385"/>
      <c r="AT13" s="385"/>
      <c r="AU13" s="385"/>
      <c r="AV13" s="385"/>
      <c r="AW13" s="385"/>
      <c r="AX13" s="385"/>
      <c r="AY13" s="385"/>
      <c r="AZ13" s="385"/>
      <c r="BA13" s="385"/>
      <c r="BB13" s="385"/>
      <c r="BC13" s="385"/>
      <c r="BD13" s="385"/>
      <c r="BE13" s="385"/>
      <c r="BF13" s="385"/>
      <c r="BG13" s="385"/>
      <c r="BH13" s="385"/>
      <c r="BI13" s="385"/>
      <c r="BJ13" s="385"/>
      <c r="BK13" s="385"/>
      <c r="BL13" s="385"/>
      <c r="BM13" s="385"/>
      <c r="BN13" s="385"/>
      <c r="BO13" s="385"/>
      <c r="BP13" s="385"/>
      <c r="BQ13" s="385"/>
      <c r="BR13" s="385"/>
      <c r="BS13" s="385"/>
      <c r="BT13" s="385"/>
      <c r="BU13" s="385"/>
      <c r="BV13" s="385"/>
      <c r="BW13" s="385"/>
      <c r="BX13" s="385"/>
      <c r="BY13" s="385"/>
      <c r="BZ13" s="385"/>
      <c r="CA13" s="385"/>
      <c r="CB13" s="385"/>
      <c r="CC13" s="385"/>
      <c r="CD13" s="385"/>
      <c r="CE13" s="385"/>
      <c r="CF13" s="385"/>
      <c r="CG13" s="385"/>
      <c r="CH13" s="385"/>
      <c r="CI13" s="385"/>
      <c r="CJ13" s="385"/>
      <c r="CK13" s="385"/>
      <c r="CL13" s="385"/>
      <c r="CM13" s="385"/>
      <c r="CN13" s="385"/>
      <c r="CO13" s="385"/>
      <c r="CP13" s="385"/>
      <c r="CQ13" s="385"/>
      <c r="CR13" s="385"/>
      <c r="CS13" s="385"/>
      <c r="CT13" s="385"/>
      <c r="CU13" s="385"/>
      <c r="CV13" s="385"/>
      <c r="CW13" s="385"/>
      <c r="CX13" s="385"/>
      <c r="CY13" s="385"/>
      <c r="CZ13" s="385"/>
      <c r="DA13" s="385"/>
      <c r="DB13" s="385"/>
      <c r="DC13" s="385"/>
      <c r="DD13" s="385"/>
      <c r="DE13" s="385"/>
      <c r="DF13" s="385"/>
      <c r="DG13" s="385"/>
      <c r="DH13" s="385"/>
      <c r="DI13" s="385"/>
      <c r="DJ13" s="385"/>
      <c r="DK13" s="385"/>
      <c r="DL13" s="385"/>
      <c r="DM13" s="385"/>
      <c r="DN13" s="385"/>
      <c r="DO13" s="385"/>
      <c r="DP13" s="385"/>
      <c r="DQ13" s="385"/>
      <c r="DR13" s="385"/>
      <c r="DS13" s="385"/>
      <c r="DT13" s="385"/>
      <c r="DU13" s="385"/>
      <c r="DV13" s="385"/>
      <c r="DW13" s="385"/>
      <c r="DX13" s="385"/>
      <c r="DY13" s="385"/>
      <c r="DZ13" s="385"/>
      <c r="EA13" s="385"/>
      <c r="EB13" s="385"/>
      <c r="EC13" s="385"/>
      <c r="ED13" s="385"/>
      <c r="EE13" s="385"/>
      <c r="EF13" s="385"/>
      <c r="EG13" s="385"/>
      <c r="EH13" s="385"/>
      <c r="EI13" s="385"/>
      <c r="EJ13" s="385"/>
      <c r="EK13" s="385"/>
      <c r="EL13" s="385"/>
      <c r="EM13" s="385"/>
      <c r="EN13" s="385"/>
      <c r="EO13" s="385"/>
      <c r="EP13" s="385"/>
      <c r="EQ13" s="385"/>
      <c r="ER13" s="385"/>
      <c r="ES13" s="385"/>
      <c r="ET13" s="385"/>
      <c r="EU13" s="385"/>
      <c r="EV13" s="385"/>
      <c r="EW13" s="385"/>
      <c r="EX13" s="385"/>
      <c r="EY13" s="385"/>
      <c r="EZ13" s="385"/>
      <c r="FA13" s="385"/>
      <c r="FB13" s="385"/>
      <c r="FC13" s="385"/>
      <c r="FD13" s="385"/>
      <c r="FE13" s="385"/>
      <c r="FF13" s="385"/>
      <c r="FG13" s="385"/>
      <c r="FH13" s="385"/>
      <c r="FI13" s="385"/>
      <c r="FJ13" s="385"/>
      <c r="FK13" s="385"/>
      <c r="FL13" s="385"/>
      <c r="FM13" s="385"/>
      <c r="FN13" s="385"/>
      <c r="FO13" s="385"/>
      <c r="FP13" s="385"/>
      <c r="FQ13" s="385"/>
      <c r="FR13" s="385"/>
      <c r="FS13" s="385"/>
      <c r="FT13" s="385"/>
      <c r="FU13" s="385"/>
      <c r="FV13" s="385"/>
      <c r="FW13" s="385"/>
      <c r="FX13" s="385"/>
      <c r="FY13" s="385"/>
      <c r="FZ13" s="385"/>
      <c r="GA13" s="385"/>
      <c r="GB13" s="385"/>
      <c r="GC13" s="385"/>
      <c r="GD13" s="385"/>
      <c r="GE13" s="385"/>
      <c r="GF13" s="385"/>
      <c r="GG13" s="385"/>
      <c r="GH13" s="385"/>
      <c r="GI13" s="385"/>
      <c r="GJ13" s="385"/>
      <c r="GK13" s="385"/>
      <c r="GL13" s="385"/>
      <c r="GM13" s="385"/>
      <c r="GN13" s="385"/>
      <c r="GO13" s="385"/>
      <c r="GP13" s="385"/>
      <c r="GQ13" s="385"/>
      <c r="GR13" s="385"/>
      <c r="GS13" s="385"/>
      <c r="GT13" s="385"/>
      <c r="GU13" s="385"/>
      <c r="GV13" s="385"/>
      <c r="GW13" s="385"/>
      <c r="GX13" s="385"/>
      <c r="GY13" s="385"/>
      <c r="GZ13" s="385"/>
      <c r="HA13" s="385"/>
      <c r="HB13" s="385"/>
      <c r="HC13" s="385"/>
      <c r="HD13" s="385"/>
      <c r="HE13" s="385"/>
      <c r="HF13" s="385"/>
      <c r="HG13" s="385"/>
      <c r="HH13" s="385"/>
      <c r="HI13" s="385"/>
      <c r="HJ13" s="385"/>
      <c r="HK13" s="385"/>
      <c r="HL13" s="385"/>
      <c r="HM13" s="385"/>
      <c r="HN13" s="385"/>
      <c r="HO13" s="385"/>
      <c r="HP13" s="385"/>
      <c r="HQ13" s="385"/>
      <c r="HR13" s="385"/>
      <c r="HS13" s="385"/>
      <c r="HT13" s="385"/>
      <c r="HU13" s="385"/>
      <c r="HV13" s="385"/>
      <c r="HW13" s="385"/>
      <c r="HX13" s="385"/>
      <c r="HY13" s="385"/>
      <c r="HZ13" s="385"/>
      <c r="IA13" s="385"/>
      <c r="IB13" s="385"/>
      <c r="IC13" s="385"/>
      <c r="ID13" s="385"/>
      <c r="IE13" s="385"/>
      <c r="IF13" s="385"/>
      <c r="IG13" s="385"/>
      <c r="IH13" s="385"/>
      <c r="II13" s="385"/>
      <c r="IJ13" s="385"/>
      <c r="IK13" s="385"/>
      <c r="IL13" s="385"/>
      <c r="IM13" s="385"/>
      <c r="IN13" s="385"/>
      <c r="IO13" s="385"/>
      <c r="IP13" s="385"/>
      <c r="IQ13" s="385"/>
      <c r="IR13" s="385"/>
      <c r="IS13" s="385"/>
      <c r="IT13" s="385"/>
      <c r="IU13" s="385"/>
      <c r="IV13" s="385"/>
    </row>
    <row r="14" spans="1:2" ht="18.75" customHeight="1">
      <c r="A14" s="386" t="s">
        <v>1176</v>
      </c>
      <c r="B14" s="387">
        <f>SUM(B12:B13)</f>
        <v>758.7</v>
      </c>
    </row>
  </sheetData>
  <sheetProtection/>
  <mergeCells count="2">
    <mergeCell ref="A5:B5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5" sqref="A5:B5"/>
    </sheetView>
  </sheetViews>
  <sheetFormatPr defaultColWidth="8.7109375" defaultRowHeight="15"/>
  <cols>
    <col min="1" max="1" width="62.140625" style="380" customWidth="1"/>
    <col min="2" max="2" width="15.7109375" style="396" customWidth="1"/>
    <col min="3" max="16384" width="8.7109375" style="380" customWidth="1"/>
  </cols>
  <sheetData>
    <row r="1" spans="1:3" s="327" customFormat="1" ht="15" customHeight="1">
      <c r="A1" s="239"/>
      <c r="B1" s="188" t="s">
        <v>0</v>
      </c>
      <c r="C1" s="326"/>
    </row>
    <row r="2" spans="1:3" s="327" customFormat="1" ht="15" customHeight="1">
      <c r="A2" s="239"/>
      <c r="B2" s="188" t="s">
        <v>1</v>
      </c>
      <c r="C2" s="192"/>
    </row>
    <row r="3" spans="1:3" s="327" customFormat="1" ht="15" customHeight="1">
      <c r="A3" s="239"/>
      <c r="B3" s="188" t="s">
        <v>2</v>
      </c>
      <c r="C3" s="192"/>
    </row>
    <row r="4" spans="1:3" s="327" customFormat="1" ht="15" customHeight="1">
      <c r="A4" s="239"/>
      <c r="B4" s="188" t="s">
        <v>1261</v>
      </c>
      <c r="C4" s="192"/>
    </row>
    <row r="5" spans="1:3" s="327" customFormat="1" ht="15" customHeight="1">
      <c r="A5" s="568" t="s">
        <v>1203</v>
      </c>
      <c r="B5" s="568"/>
      <c r="C5" s="192"/>
    </row>
    <row r="6" spans="1:3" s="327" customFormat="1" ht="15" customHeight="1">
      <c r="A6" s="268"/>
      <c r="B6" s="395"/>
      <c r="C6" s="192"/>
    </row>
    <row r="8" spans="1:2" ht="49.5" customHeight="1">
      <c r="A8" s="569" t="s">
        <v>1204</v>
      </c>
      <c r="B8" s="569"/>
    </row>
    <row r="9" spans="1:2" ht="13.5" customHeight="1">
      <c r="A9" s="394"/>
      <c r="B9" s="394"/>
    </row>
    <row r="10" spans="1:2" ht="13.5" customHeight="1">
      <c r="A10" s="394"/>
      <c r="B10" s="394"/>
    </row>
    <row r="11" spans="1:2" s="385" customFormat="1" ht="53.25" customHeight="1">
      <c r="A11" s="381" t="s">
        <v>1173</v>
      </c>
      <c r="B11" s="382" t="s">
        <v>22</v>
      </c>
    </row>
    <row r="12" spans="1:2" ht="30" customHeight="1">
      <c r="A12" s="89" t="s">
        <v>1205</v>
      </c>
      <c r="B12" s="397">
        <f>767+365</f>
        <v>1132</v>
      </c>
    </row>
    <row r="13" spans="1:2" ht="15" hidden="1">
      <c r="A13" s="398"/>
      <c r="B13" s="397"/>
    </row>
    <row r="14" spans="1:2" ht="15" hidden="1">
      <c r="A14" s="398"/>
      <c r="B14" s="397"/>
    </row>
    <row r="15" spans="1:2" ht="22.5" customHeight="1">
      <c r="A15" s="399" t="s">
        <v>1176</v>
      </c>
      <c r="B15" s="234">
        <f>SUM(B12:B12)</f>
        <v>1132</v>
      </c>
    </row>
  </sheetData>
  <sheetProtection/>
  <mergeCells count="2">
    <mergeCell ref="A5:B5"/>
    <mergeCell ref="A8:B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A15" sqref="A15"/>
    </sheetView>
  </sheetViews>
  <sheetFormatPr defaultColWidth="8.7109375" defaultRowHeight="15"/>
  <cols>
    <col min="1" max="1" width="76.7109375" style="401" customWidth="1"/>
    <col min="2" max="2" width="19.28125" style="402" customWidth="1"/>
    <col min="3" max="16384" width="8.7109375" style="401" customWidth="1"/>
  </cols>
  <sheetData>
    <row r="1" spans="1:3" s="2" customFormat="1" ht="15" customHeight="1">
      <c r="A1" s="570" t="s">
        <v>0</v>
      </c>
      <c r="B1" s="570"/>
      <c r="C1" s="400"/>
    </row>
    <row r="2" spans="1:3" s="2" customFormat="1" ht="15" customHeight="1">
      <c r="A2" s="568" t="s">
        <v>1</v>
      </c>
      <c r="B2" s="568"/>
      <c r="C2" s="3"/>
    </row>
    <row r="3" spans="1:3" s="2" customFormat="1" ht="15" customHeight="1">
      <c r="A3" s="568" t="s">
        <v>2</v>
      </c>
      <c r="B3" s="568"/>
      <c r="C3" s="3"/>
    </row>
    <row r="4" spans="1:3" s="2" customFormat="1" ht="15" customHeight="1">
      <c r="A4" s="568" t="s">
        <v>1259</v>
      </c>
      <c r="B4" s="568"/>
      <c r="C4" s="3"/>
    </row>
    <row r="5" spans="1:3" s="2" customFormat="1" ht="15" customHeight="1">
      <c r="A5" s="568" t="s">
        <v>1250</v>
      </c>
      <c r="B5" s="568"/>
      <c r="C5" s="3"/>
    </row>
    <row r="7" spans="1:2" ht="68.25" customHeight="1">
      <c r="A7" s="569" t="s">
        <v>1215</v>
      </c>
      <c r="B7" s="569"/>
    </row>
    <row r="10" spans="1:2" s="405" customFormat="1" ht="39" customHeight="1">
      <c r="A10" s="403" t="s">
        <v>1173</v>
      </c>
      <c r="B10" s="404" t="s">
        <v>22</v>
      </c>
    </row>
    <row r="11" spans="1:2" ht="27" customHeight="1" hidden="1">
      <c r="A11" s="406" t="s">
        <v>1205</v>
      </c>
      <c r="B11" s="407"/>
    </row>
    <row r="12" spans="1:2" ht="27" customHeight="1" hidden="1">
      <c r="A12" s="408" t="s">
        <v>1206</v>
      </c>
      <c r="B12" s="407"/>
    </row>
    <row r="13" spans="1:2" ht="27" customHeight="1">
      <c r="A13" s="408" t="s">
        <v>1207</v>
      </c>
      <c r="B13" s="407">
        <v>1500</v>
      </c>
    </row>
    <row r="14" spans="1:2" ht="27" customHeight="1">
      <c r="A14" s="408" t="s">
        <v>1175</v>
      </c>
      <c r="B14" s="407">
        <v>1200</v>
      </c>
    </row>
    <row r="15" spans="1:2" ht="27" customHeight="1">
      <c r="A15" s="408" t="s">
        <v>1208</v>
      </c>
      <c r="B15" s="407">
        <v>1300</v>
      </c>
    </row>
    <row r="16" spans="1:2" ht="27" customHeight="1">
      <c r="A16" s="408" t="s">
        <v>1209</v>
      </c>
      <c r="B16" s="407">
        <v>1250</v>
      </c>
    </row>
    <row r="17" spans="1:2" ht="27" customHeight="1">
      <c r="A17" s="408" t="s">
        <v>1210</v>
      </c>
      <c r="B17" s="407">
        <v>1750</v>
      </c>
    </row>
    <row r="18" spans="1:2" ht="27" customHeight="1">
      <c r="A18" s="408" t="s">
        <v>1211</v>
      </c>
      <c r="B18" s="407">
        <v>3500</v>
      </c>
    </row>
    <row r="19" spans="1:2" ht="27" customHeight="1">
      <c r="A19" s="408" t="s">
        <v>1212</v>
      </c>
      <c r="B19" s="407">
        <v>2000</v>
      </c>
    </row>
    <row r="20" spans="1:2" ht="28.5" customHeight="1" hidden="1">
      <c r="A20" s="408" t="s">
        <v>1213</v>
      </c>
      <c r="B20" s="407"/>
    </row>
    <row r="21" spans="1:2" ht="28.5" customHeight="1">
      <c r="A21" s="408" t="s">
        <v>1214</v>
      </c>
      <c r="B21" s="407">
        <v>2500</v>
      </c>
    </row>
    <row r="22" spans="1:2" ht="19.5" customHeight="1">
      <c r="A22" s="409" t="s">
        <v>1176</v>
      </c>
      <c r="B22" s="410">
        <f>SUM(B11:B21)</f>
        <v>15000</v>
      </c>
    </row>
  </sheetData>
  <sheetProtection/>
  <mergeCells count="6">
    <mergeCell ref="A1:B1"/>
    <mergeCell ref="A2:B2"/>
    <mergeCell ref="A3:B3"/>
    <mergeCell ref="A4:B4"/>
    <mergeCell ref="A5:B5"/>
    <mergeCell ref="A7:B7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15" sqref="B15"/>
    </sheetView>
  </sheetViews>
  <sheetFormatPr defaultColWidth="10.00390625" defaultRowHeight="15"/>
  <cols>
    <col min="1" max="1" width="27.421875" style="172" customWidth="1"/>
    <col min="2" max="2" width="52.8515625" style="172" customWidth="1"/>
    <col min="3" max="3" width="12.57421875" style="186" hidden="1" customWidth="1"/>
    <col min="4" max="4" width="12.140625" style="186" customWidth="1"/>
    <col min="5" max="5" width="9.8515625" style="186" hidden="1" customWidth="1"/>
    <col min="6" max="6" width="10.7109375" style="172" customWidth="1"/>
    <col min="7" max="7" width="11.57421875" style="172" customWidth="1"/>
    <col min="8" max="16384" width="10.00390625" style="172" customWidth="1"/>
  </cols>
  <sheetData>
    <row r="1" spans="2:8" s="26" customFormat="1" ht="15">
      <c r="B1" s="166"/>
      <c r="D1" s="168"/>
      <c r="F1" s="25"/>
      <c r="G1" s="25" t="s">
        <v>0</v>
      </c>
      <c r="H1" s="25"/>
    </row>
    <row r="2" spans="2:8" s="26" customFormat="1" ht="15">
      <c r="B2" s="166"/>
      <c r="D2" s="168"/>
      <c r="F2" s="25"/>
      <c r="G2" s="25" t="s">
        <v>1</v>
      </c>
      <c r="H2" s="25"/>
    </row>
    <row r="3" spans="2:8" s="26" customFormat="1" ht="15">
      <c r="B3" s="166"/>
      <c r="D3" s="168"/>
      <c r="F3" s="25"/>
      <c r="G3" s="25" t="s">
        <v>2</v>
      </c>
      <c r="H3" s="25"/>
    </row>
    <row r="4" spans="2:8" s="26" customFormat="1" ht="15.75" customHeight="1">
      <c r="B4" s="166"/>
      <c r="C4" s="167"/>
      <c r="D4" s="168"/>
      <c r="F4" s="25"/>
      <c r="G4" s="25" t="s">
        <v>1259</v>
      </c>
      <c r="H4" s="25"/>
    </row>
    <row r="5" spans="2:8" s="26" customFormat="1" ht="15">
      <c r="B5" s="166"/>
      <c r="C5" s="167"/>
      <c r="D5" s="168"/>
      <c r="E5" s="166"/>
      <c r="F5" s="25"/>
      <c r="G5" s="25" t="s">
        <v>860</v>
      </c>
      <c r="H5" s="25"/>
    </row>
    <row r="6" spans="3:6" s="26" customFormat="1" ht="15">
      <c r="C6" s="168"/>
      <c r="D6" s="188"/>
      <c r="E6" s="166"/>
      <c r="F6" s="166"/>
    </row>
    <row r="7" spans="1:6" s="169" customFormat="1" ht="47.25" customHeight="1">
      <c r="A7" s="429" t="s">
        <v>875</v>
      </c>
      <c r="B7" s="429"/>
      <c r="C7" s="430"/>
      <c r="D7" s="430"/>
      <c r="E7" s="430"/>
      <c r="F7" s="430"/>
    </row>
    <row r="8" spans="1:6" s="169" customFormat="1" ht="14.25" customHeight="1">
      <c r="A8" s="170"/>
      <c r="B8" s="170"/>
      <c r="C8" s="171"/>
      <c r="D8" s="171"/>
      <c r="E8" s="171"/>
      <c r="F8" s="171"/>
    </row>
    <row r="9" spans="1:5" ht="12.75" customHeight="1">
      <c r="A9" s="26"/>
      <c r="B9" s="26"/>
      <c r="C9" s="168"/>
      <c r="D9" s="168"/>
      <c r="E9" s="168"/>
    </row>
    <row r="10" spans="1:7" s="169" customFormat="1" ht="24" customHeight="1">
      <c r="A10" s="427" t="s">
        <v>745</v>
      </c>
      <c r="B10" s="425" t="s">
        <v>715</v>
      </c>
      <c r="C10" s="431" t="s">
        <v>741</v>
      </c>
      <c r="D10" s="432"/>
      <c r="E10" s="432"/>
      <c r="F10" s="432"/>
      <c r="G10" s="433"/>
    </row>
    <row r="11" spans="1:7" s="169" customFormat="1" ht="45" customHeight="1">
      <c r="A11" s="434"/>
      <c r="B11" s="435"/>
      <c r="C11" s="46" t="s">
        <v>877</v>
      </c>
      <c r="D11" s="46" t="s">
        <v>742</v>
      </c>
      <c r="E11" s="46" t="s">
        <v>808</v>
      </c>
      <c r="F11" s="47" t="s">
        <v>743</v>
      </c>
      <c r="G11" s="47" t="s">
        <v>878</v>
      </c>
    </row>
    <row r="12" spans="1:7" ht="41.25" customHeight="1">
      <c r="A12" s="91" t="s">
        <v>716</v>
      </c>
      <c r="B12" s="173" t="s">
        <v>717</v>
      </c>
      <c r="C12" s="30">
        <f>C13</f>
        <v>13358.1</v>
      </c>
      <c r="D12" s="30">
        <f>D13</f>
        <v>13358.1</v>
      </c>
      <c r="E12" s="30">
        <f aca="true" t="shared" si="0" ref="E12:E18">D12-C12</f>
        <v>0</v>
      </c>
      <c r="F12" s="30">
        <f>F13-F14</f>
        <v>6649.999999999998</v>
      </c>
      <c r="G12" s="30">
        <f>G13-G14</f>
        <v>1000</v>
      </c>
    </row>
    <row r="13" spans="1:7" ht="45" customHeight="1">
      <c r="A13" s="73" t="s">
        <v>718</v>
      </c>
      <c r="B13" s="74" t="s">
        <v>1097</v>
      </c>
      <c r="C13" s="175">
        <f>33000+857-20000-498.9</f>
        <v>13358.1</v>
      </c>
      <c r="D13" s="175">
        <f>33000+857-20000-498.9</f>
        <v>13358.1</v>
      </c>
      <c r="E13" s="175">
        <f t="shared" si="0"/>
        <v>0</v>
      </c>
      <c r="F13" s="175">
        <f>6650+13857-498.9</f>
        <v>20008.1</v>
      </c>
      <c r="G13" s="175">
        <f>1000+20507-498.9</f>
        <v>21008.1</v>
      </c>
    </row>
    <row r="14" spans="1:7" ht="51.75" customHeight="1">
      <c r="A14" s="73" t="s">
        <v>1099</v>
      </c>
      <c r="B14" s="74" t="s">
        <v>1098</v>
      </c>
      <c r="C14" s="174"/>
      <c r="D14" s="175"/>
      <c r="E14" s="175"/>
      <c r="F14" s="175">
        <f>33857-20000-498.9</f>
        <v>13358.1</v>
      </c>
      <c r="G14" s="175">
        <f>20008.1</f>
        <v>20008.1</v>
      </c>
    </row>
    <row r="15" spans="1:7" s="169" customFormat="1" ht="42.75" customHeight="1">
      <c r="A15" s="91" t="s">
        <v>720</v>
      </c>
      <c r="B15" s="173" t="s">
        <v>721</v>
      </c>
      <c r="C15" s="30">
        <f>C16+C17</f>
        <v>0</v>
      </c>
      <c r="D15" s="30">
        <f>D16+D17</f>
        <v>0</v>
      </c>
      <c r="E15" s="30">
        <f t="shared" si="0"/>
        <v>0</v>
      </c>
      <c r="F15" s="30">
        <f>F16+F17</f>
        <v>0</v>
      </c>
      <c r="G15" s="30">
        <f>G16+G17</f>
        <v>0</v>
      </c>
    </row>
    <row r="16" spans="1:7" s="169" customFormat="1" ht="58.5" customHeight="1">
      <c r="A16" s="73" t="s">
        <v>722</v>
      </c>
      <c r="B16" s="74" t="s">
        <v>723</v>
      </c>
      <c r="C16" s="175">
        <v>30000</v>
      </c>
      <c r="D16" s="175">
        <v>30000</v>
      </c>
      <c r="E16" s="175">
        <f t="shared" si="0"/>
        <v>0</v>
      </c>
      <c r="F16" s="175">
        <v>30000</v>
      </c>
      <c r="G16" s="175">
        <v>30000</v>
      </c>
    </row>
    <row r="17" spans="1:7" s="169" customFormat="1" ht="53.25" customHeight="1">
      <c r="A17" s="73" t="s">
        <v>724</v>
      </c>
      <c r="B17" s="74" t="s">
        <v>725</v>
      </c>
      <c r="C17" s="175">
        <v>-30000</v>
      </c>
      <c r="D17" s="175">
        <v>-30000</v>
      </c>
      <c r="E17" s="175">
        <f t="shared" si="0"/>
        <v>0</v>
      </c>
      <c r="F17" s="175">
        <v>-30000</v>
      </c>
      <c r="G17" s="175">
        <v>-30000</v>
      </c>
    </row>
    <row r="18" spans="1:7" s="169" customFormat="1" ht="28.5" hidden="1">
      <c r="A18" s="91" t="s">
        <v>726</v>
      </c>
      <c r="B18" s="173" t="s">
        <v>727</v>
      </c>
      <c r="C18" s="30"/>
      <c r="D18" s="30"/>
      <c r="E18" s="175">
        <f t="shared" si="0"/>
        <v>0</v>
      </c>
      <c r="F18" s="237"/>
      <c r="G18" s="237"/>
    </row>
    <row r="19" spans="1:7" s="169" customFormat="1" ht="36.75" customHeight="1">
      <c r="A19" s="91" t="s">
        <v>726</v>
      </c>
      <c r="B19" s="173" t="s">
        <v>727</v>
      </c>
      <c r="C19" s="30">
        <f>6094.7+24792.8+42839.9+250+175.4+7100.1-0.2</f>
        <v>81252.7</v>
      </c>
      <c r="D19" s="30">
        <f>6094.7+24792.8+42839.9+250+175.4+7100.1-0.2+18561+1937.2+300+0.1+170.8</f>
        <v>102221.8</v>
      </c>
      <c r="E19" s="30">
        <f>D19-C19</f>
        <v>20969.100000000006</v>
      </c>
      <c r="F19" s="237"/>
      <c r="G19" s="237"/>
    </row>
    <row r="20" spans="1:7" ht="42" customHeight="1">
      <c r="A20" s="91" t="s">
        <v>728</v>
      </c>
      <c r="B20" s="173" t="s">
        <v>729</v>
      </c>
      <c r="C20" s="30">
        <f>C22+C23+C21</f>
        <v>20000</v>
      </c>
      <c r="D20" s="30">
        <f>D22+D23+D21</f>
        <v>20000</v>
      </c>
      <c r="E20" s="30">
        <f aca="true" t="shared" si="1" ref="E20:E29">D20-C20</f>
        <v>0</v>
      </c>
      <c r="F20" s="30">
        <f>F22+F23+F21</f>
        <v>25000</v>
      </c>
      <c r="G20" s="30">
        <f>G22+G23+G21</f>
        <v>30000</v>
      </c>
    </row>
    <row r="21" spans="1:7" s="169" customFormat="1" ht="54.75" customHeight="1">
      <c r="A21" s="73" t="s">
        <v>730</v>
      </c>
      <c r="B21" s="74" t="s">
        <v>731</v>
      </c>
      <c r="C21" s="330">
        <v>20000</v>
      </c>
      <c r="D21" s="330">
        <v>20000</v>
      </c>
      <c r="E21" s="175">
        <f t="shared" si="1"/>
        <v>0</v>
      </c>
      <c r="F21" s="174">
        <v>25000</v>
      </c>
      <c r="G21" s="174">
        <v>30000</v>
      </c>
    </row>
    <row r="22" spans="1:7" s="169" customFormat="1" ht="60" customHeight="1">
      <c r="A22" s="73" t="s">
        <v>732</v>
      </c>
      <c r="B22" s="74" t="s">
        <v>733</v>
      </c>
      <c r="C22" s="175">
        <v>-20000</v>
      </c>
      <c r="D22" s="175">
        <v>-20000</v>
      </c>
      <c r="E22" s="175">
        <f t="shared" si="1"/>
        <v>0</v>
      </c>
      <c r="F22" s="175">
        <v>-20000</v>
      </c>
      <c r="G22" s="175">
        <v>-20000</v>
      </c>
    </row>
    <row r="23" spans="1:7" s="169" customFormat="1" ht="70.5" customHeight="1">
      <c r="A23" s="73" t="s">
        <v>734</v>
      </c>
      <c r="B23" s="74" t="s">
        <v>735</v>
      </c>
      <c r="C23" s="175">
        <v>20000</v>
      </c>
      <c r="D23" s="175">
        <v>20000</v>
      </c>
      <c r="E23" s="175">
        <f t="shared" si="1"/>
        <v>0</v>
      </c>
      <c r="F23" s="175">
        <v>20000</v>
      </c>
      <c r="G23" s="175">
        <v>20000</v>
      </c>
    </row>
    <row r="24" spans="1:7" s="169" customFormat="1" ht="15" hidden="1">
      <c r="A24" s="73"/>
      <c r="B24" s="74"/>
      <c r="C24" s="175"/>
      <c r="D24" s="175"/>
      <c r="E24" s="175">
        <f t="shared" si="1"/>
        <v>0</v>
      </c>
      <c r="F24" s="237"/>
      <c r="G24" s="237"/>
    </row>
    <row r="25" spans="1:7" ht="31.5" customHeight="1" hidden="1">
      <c r="A25" s="91" t="s">
        <v>736</v>
      </c>
      <c r="B25" s="173" t="s">
        <v>737</v>
      </c>
      <c r="C25" s="30">
        <f>C27</f>
        <v>0</v>
      </c>
      <c r="D25" s="30"/>
      <c r="E25" s="175">
        <f t="shared" si="1"/>
        <v>0</v>
      </c>
      <c r="F25" s="238"/>
      <c r="G25" s="238"/>
    </row>
    <row r="26" spans="1:7" s="169" customFormat="1" ht="15" hidden="1">
      <c r="A26" s="73"/>
      <c r="B26" s="74"/>
      <c r="C26" s="175"/>
      <c r="D26" s="175"/>
      <c r="E26" s="175">
        <f t="shared" si="1"/>
        <v>0</v>
      </c>
      <c r="F26" s="237"/>
      <c r="G26" s="237"/>
    </row>
    <row r="27" spans="1:7" s="169" customFormat="1" ht="45" hidden="1">
      <c r="A27" s="73" t="s">
        <v>738</v>
      </c>
      <c r="B27" s="74" t="s">
        <v>739</v>
      </c>
      <c r="C27" s="175"/>
      <c r="D27" s="175"/>
      <c r="E27" s="175">
        <f t="shared" si="1"/>
        <v>0</v>
      </c>
      <c r="F27" s="237"/>
      <c r="G27" s="237"/>
    </row>
    <row r="28" spans="1:7" s="169" customFormat="1" ht="15" hidden="1">
      <c r="A28" s="73"/>
      <c r="B28" s="74"/>
      <c r="C28" s="175"/>
      <c r="D28" s="175"/>
      <c r="E28" s="175">
        <f t="shared" si="1"/>
        <v>0</v>
      </c>
      <c r="F28" s="237"/>
      <c r="G28" s="237"/>
    </row>
    <row r="29" spans="1:7" s="169" customFormat="1" ht="24" customHeight="1">
      <c r="A29" s="73"/>
      <c r="B29" s="91" t="s">
        <v>740</v>
      </c>
      <c r="C29" s="30">
        <f>C12+C15+C20+C18+C25+C19</f>
        <v>114610.79999999999</v>
      </c>
      <c r="D29" s="30">
        <f>D12+D15+D20+D18+D25+D19</f>
        <v>135579.9</v>
      </c>
      <c r="E29" s="30">
        <f t="shared" si="1"/>
        <v>20969.100000000006</v>
      </c>
      <c r="F29" s="30">
        <f>F12+F15+F20+F18+F25+F19</f>
        <v>31650</v>
      </c>
      <c r="G29" s="30">
        <f>G12+G15+G20+G18+G25+G19</f>
        <v>31000</v>
      </c>
    </row>
    <row r="30" spans="1:7" s="179" customFormat="1" ht="84.75" customHeight="1" hidden="1">
      <c r="A30" s="176"/>
      <c r="B30" s="177" t="s">
        <v>864</v>
      </c>
      <c r="C30" s="178">
        <f>((C29-C19)/('Пр.2'!C13-'Пр.2'!C15*19.43/34.43)*100)</f>
        <v>6.585974837033868</v>
      </c>
      <c r="D30" s="178">
        <f>((D29-D19)/('Пр.2'!D13-'Пр.2'!D15*19.43/34.43)*100)</f>
        <v>6.564399888431728</v>
      </c>
      <c r="E30" s="178">
        <f>((E29-E19)/('Пр.2'!E13-'Пр.2'!E15*19/34)*100)</f>
        <v>0</v>
      </c>
      <c r="F30" s="178">
        <f>((F29-F19)/('Пр.2'!F13-'Пр.2'!F15*19.15/34.15)*100)</f>
        <v>6.500645547141415</v>
      </c>
      <c r="G30" s="178">
        <f>((G29-G19)/('Пр.2'!G13-'Пр.2'!G15*19.6/34.6)*100)</f>
        <v>6.1020087445278355</v>
      </c>
    </row>
    <row r="31" spans="1:5" ht="15">
      <c r="A31" s="180"/>
      <c r="B31" s="180"/>
      <c r="C31" s="181"/>
      <c r="D31" s="181"/>
      <c r="E31" s="181"/>
    </row>
    <row r="32" spans="1:5" ht="14.25">
      <c r="A32" s="182"/>
      <c r="B32" s="182"/>
      <c r="C32" s="183"/>
      <c r="D32" s="183"/>
      <c r="E32" s="183"/>
    </row>
    <row r="33" spans="1:5" s="169" customFormat="1" ht="15">
      <c r="A33" s="182"/>
      <c r="B33" s="182"/>
      <c r="C33" s="183"/>
      <c r="D33" s="183"/>
      <c r="E33" s="183"/>
    </row>
    <row r="34" spans="1:5" s="169" customFormat="1" ht="15">
      <c r="A34" s="180"/>
      <c r="B34" s="180"/>
      <c r="C34" s="181"/>
      <c r="D34" s="181"/>
      <c r="E34" s="181"/>
    </row>
    <row r="35" spans="1:5" s="169" customFormat="1" ht="15">
      <c r="A35" s="180"/>
      <c r="B35" s="180"/>
      <c r="C35" s="181"/>
      <c r="D35" s="181"/>
      <c r="E35" s="181"/>
    </row>
    <row r="36" spans="1:5" ht="15">
      <c r="A36" s="180"/>
      <c r="B36" s="180"/>
      <c r="C36" s="181"/>
      <c r="D36" s="181"/>
      <c r="E36" s="181"/>
    </row>
    <row r="37" spans="1:5" ht="15">
      <c r="A37" s="184"/>
      <c r="B37" s="184"/>
      <c r="C37" s="185"/>
      <c r="D37" s="185"/>
      <c r="E37" s="185"/>
    </row>
  </sheetData>
  <sheetProtection/>
  <mergeCells count="4">
    <mergeCell ref="A7:F7"/>
    <mergeCell ref="A10:A11"/>
    <mergeCell ref="B10:B11"/>
    <mergeCell ref="C10:G10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G5" sqref="G5"/>
    </sheetView>
  </sheetViews>
  <sheetFormatPr defaultColWidth="10.140625" defaultRowHeight="15" outlineLevelCol="1"/>
  <cols>
    <col min="1" max="1" width="23.8515625" style="26" customWidth="1"/>
    <col min="2" max="2" width="59.421875" style="187" customWidth="1"/>
    <col min="3" max="3" width="12.57421875" style="168" hidden="1" customWidth="1" outlineLevel="1"/>
    <col min="4" max="4" width="11.8515625" style="168" customWidth="1" collapsed="1"/>
    <col min="5" max="5" width="10.8515625" style="168" hidden="1" customWidth="1" outlineLevel="1"/>
    <col min="6" max="6" width="12.421875" style="26" customWidth="1" collapsed="1"/>
    <col min="7" max="7" width="12.00390625" style="26" customWidth="1"/>
    <col min="8" max="16384" width="10.140625" style="26" customWidth="1"/>
  </cols>
  <sheetData>
    <row r="1" ht="15">
      <c r="G1" s="25" t="s">
        <v>0</v>
      </c>
    </row>
    <row r="2" ht="15">
      <c r="G2" s="25" t="s">
        <v>1</v>
      </c>
    </row>
    <row r="3" ht="15">
      <c r="G3" s="25" t="s">
        <v>2</v>
      </c>
    </row>
    <row r="4" ht="15">
      <c r="G4" s="25" t="s">
        <v>1259</v>
      </c>
    </row>
    <row r="5" spans="3:7" ht="15">
      <c r="C5" s="188"/>
      <c r="D5" s="188"/>
      <c r="F5" s="166"/>
      <c r="G5" s="25" t="s">
        <v>811</v>
      </c>
    </row>
    <row r="6" spans="3:7" ht="15">
      <c r="C6" s="188"/>
      <c r="D6" s="188"/>
      <c r="E6" s="188"/>
      <c r="F6" s="166"/>
      <c r="G6" s="166"/>
    </row>
    <row r="7" spans="3:7" ht="15">
      <c r="C7" s="188"/>
      <c r="D7" s="188"/>
      <c r="E7" s="188"/>
      <c r="F7" s="166"/>
      <c r="G7" s="166"/>
    </row>
    <row r="8" spans="1:7" ht="41.25" customHeight="1">
      <c r="A8" s="429" t="s">
        <v>876</v>
      </c>
      <c r="B8" s="436"/>
      <c r="C8" s="436"/>
      <c r="D8" s="436"/>
      <c r="E8" s="436"/>
      <c r="F8" s="436"/>
      <c r="G8" s="232"/>
    </row>
    <row r="9" spans="1:2" ht="15">
      <c r="A9" s="189"/>
      <c r="B9" s="190"/>
    </row>
    <row r="10" spans="1:7" ht="20.25" customHeight="1">
      <c r="A10" s="31" t="s">
        <v>3</v>
      </c>
      <c r="B10" s="437" t="s">
        <v>554</v>
      </c>
      <c r="C10" s="440" t="s">
        <v>744</v>
      </c>
      <c r="D10" s="441"/>
      <c r="E10" s="441"/>
      <c r="F10" s="441"/>
      <c r="G10" s="442"/>
    </row>
    <row r="11" spans="1:7" ht="16.5" customHeight="1">
      <c r="A11" s="438" t="s">
        <v>4</v>
      </c>
      <c r="B11" s="437"/>
      <c r="C11" s="443"/>
      <c r="D11" s="444"/>
      <c r="E11" s="444"/>
      <c r="F11" s="444"/>
      <c r="G11" s="445"/>
    </row>
    <row r="12" spans="1:7" ht="33" customHeight="1">
      <c r="A12" s="439"/>
      <c r="B12" s="434"/>
      <c r="C12" s="233" t="s">
        <v>877</v>
      </c>
      <c r="D12" s="233" t="s">
        <v>879</v>
      </c>
      <c r="E12" s="233" t="s">
        <v>810</v>
      </c>
      <c r="F12" s="234" t="s">
        <v>743</v>
      </c>
      <c r="G12" s="234" t="s">
        <v>878</v>
      </c>
    </row>
    <row r="13" spans="1:7" ht="20.25" customHeight="1">
      <c r="A13" s="28" t="s">
        <v>555</v>
      </c>
      <c r="B13" s="29" t="s">
        <v>556</v>
      </c>
      <c r="C13" s="30">
        <f>C14+C16+C18+C23+C24+C29+C34+C37+C40+C41+C31</f>
        <v>818448.0000000001</v>
      </c>
      <c r="D13" s="30">
        <f>D14+D16+D18+D23+D24+D29+D34+D37+D40+D41+D31</f>
        <v>820112.7000000001</v>
      </c>
      <c r="E13" s="30">
        <f>D13-C13</f>
        <v>1664.6999999999534</v>
      </c>
      <c r="F13" s="30">
        <f>F14+F16+F18+F23+F24+F29+F34+F37+F40+F41+F31</f>
        <v>816461.7</v>
      </c>
      <c r="G13" s="30">
        <f>G14+G16+G18+G23+G24+G29+G34+G37+G40+G41+G31</f>
        <v>863385.2999999999</v>
      </c>
    </row>
    <row r="14" spans="1:7" ht="24" customHeight="1">
      <c r="A14" s="28" t="s">
        <v>557</v>
      </c>
      <c r="B14" s="29" t="s">
        <v>558</v>
      </c>
      <c r="C14" s="30">
        <f>C15</f>
        <v>552768.8</v>
      </c>
      <c r="D14" s="30">
        <f>D15</f>
        <v>552768.8</v>
      </c>
      <c r="E14" s="30">
        <f aca="true" t="shared" si="0" ref="E14:E44">D14-C14</f>
        <v>0</v>
      </c>
      <c r="F14" s="30">
        <f>F15</f>
        <v>587749.1</v>
      </c>
      <c r="G14" s="30">
        <f>G15</f>
        <v>627311.9</v>
      </c>
    </row>
    <row r="15" spans="1:7" ht="23.25" customHeight="1">
      <c r="A15" s="72" t="s">
        <v>559</v>
      </c>
      <c r="B15" s="191" t="s">
        <v>560</v>
      </c>
      <c r="C15" s="175">
        <v>552768.8</v>
      </c>
      <c r="D15" s="175">
        <v>552768.8</v>
      </c>
      <c r="E15" s="175">
        <f t="shared" si="0"/>
        <v>0</v>
      </c>
      <c r="F15" s="175">
        <v>587749.1</v>
      </c>
      <c r="G15" s="175">
        <v>627311.9</v>
      </c>
    </row>
    <row r="16" spans="1:7" ht="50.25" customHeight="1">
      <c r="A16" s="28" t="s">
        <v>561</v>
      </c>
      <c r="B16" s="29" t="s">
        <v>562</v>
      </c>
      <c r="C16" s="30">
        <f>C17</f>
        <v>50.8</v>
      </c>
      <c r="D16" s="30">
        <f>D17</f>
        <v>50.8</v>
      </c>
      <c r="E16" s="30">
        <f t="shared" si="0"/>
        <v>0</v>
      </c>
      <c r="F16" s="30">
        <f>F17</f>
        <v>52.3</v>
      </c>
      <c r="G16" s="30">
        <f>G17</f>
        <v>56.7</v>
      </c>
    </row>
    <row r="17" spans="1:7" ht="33.75" customHeight="1">
      <c r="A17" s="72" t="s">
        <v>563</v>
      </c>
      <c r="B17" s="191" t="s">
        <v>564</v>
      </c>
      <c r="C17" s="175">
        <v>50.8</v>
      </c>
      <c r="D17" s="175">
        <v>50.8</v>
      </c>
      <c r="E17" s="175">
        <f t="shared" si="0"/>
        <v>0</v>
      </c>
      <c r="F17" s="175">
        <v>52.3</v>
      </c>
      <c r="G17" s="175">
        <v>56.7</v>
      </c>
    </row>
    <row r="18" spans="1:7" ht="21" customHeight="1">
      <c r="A18" s="28" t="s">
        <v>565</v>
      </c>
      <c r="B18" s="29" t="s">
        <v>566</v>
      </c>
      <c r="C18" s="30">
        <f>C20+C21+C19+C22</f>
        <v>131518.3</v>
      </c>
      <c r="D18" s="30">
        <f>D20+D21+D19+D22</f>
        <v>131518.3</v>
      </c>
      <c r="E18" s="30">
        <f t="shared" si="0"/>
        <v>0</v>
      </c>
      <c r="F18" s="30">
        <f>F20+F21+F19+F22</f>
        <v>136693.3</v>
      </c>
      <c r="G18" s="30">
        <f>G20+G21+G19+G22</f>
        <v>142160.4</v>
      </c>
    </row>
    <row r="19" spans="1:7" ht="33.75" customHeight="1">
      <c r="A19" s="72" t="s">
        <v>567</v>
      </c>
      <c r="B19" s="191" t="s">
        <v>568</v>
      </c>
      <c r="C19" s="175">
        <v>94464.4</v>
      </c>
      <c r="D19" s="175">
        <v>94464.4</v>
      </c>
      <c r="E19" s="175">
        <f t="shared" si="0"/>
        <v>0</v>
      </c>
      <c r="F19" s="175">
        <v>98243</v>
      </c>
      <c r="G19" s="175">
        <v>102172.7</v>
      </c>
    </row>
    <row r="20" spans="1:7" ht="28.5" customHeight="1">
      <c r="A20" s="72" t="s">
        <v>569</v>
      </c>
      <c r="B20" s="191" t="s">
        <v>570</v>
      </c>
      <c r="C20" s="175">
        <v>36646.5</v>
      </c>
      <c r="D20" s="175">
        <v>36646.5</v>
      </c>
      <c r="E20" s="175">
        <f t="shared" si="0"/>
        <v>0</v>
      </c>
      <c r="F20" s="175">
        <v>38112.3</v>
      </c>
      <c r="G20" s="175">
        <v>39636.8</v>
      </c>
    </row>
    <row r="21" spans="1:7" ht="24" customHeight="1">
      <c r="A21" s="72" t="s">
        <v>571</v>
      </c>
      <c r="B21" s="191" t="s">
        <v>572</v>
      </c>
      <c r="C21" s="175">
        <v>108.4</v>
      </c>
      <c r="D21" s="175">
        <v>108.4</v>
      </c>
      <c r="E21" s="175">
        <f t="shared" si="0"/>
        <v>0</v>
      </c>
      <c r="F21" s="175">
        <v>112.5</v>
      </c>
      <c r="G21" s="175">
        <v>116.4</v>
      </c>
    </row>
    <row r="22" spans="1:7" ht="33.75" customHeight="1">
      <c r="A22" s="72" t="s">
        <v>573</v>
      </c>
      <c r="B22" s="191" t="s">
        <v>574</v>
      </c>
      <c r="C22" s="175">
        <v>299</v>
      </c>
      <c r="D22" s="175">
        <v>299</v>
      </c>
      <c r="E22" s="175">
        <f t="shared" si="0"/>
        <v>0</v>
      </c>
      <c r="F22" s="175">
        <v>225.5</v>
      </c>
      <c r="G22" s="175">
        <v>234.5</v>
      </c>
    </row>
    <row r="23" spans="1:7" ht="18.75" customHeight="1">
      <c r="A23" s="28" t="s">
        <v>575</v>
      </c>
      <c r="B23" s="29" t="s">
        <v>576</v>
      </c>
      <c r="C23" s="30">
        <v>7946.7</v>
      </c>
      <c r="D23" s="30">
        <v>7946.7</v>
      </c>
      <c r="E23" s="30">
        <f t="shared" si="0"/>
        <v>0</v>
      </c>
      <c r="F23" s="30">
        <v>7946.7</v>
      </c>
      <c r="G23" s="30">
        <v>7946.7</v>
      </c>
    </row>
    <row r="24" spans="1:7" ht="54" customHeight="1">
      <c r="A24" s="28" t="s">
        <v>577</v>
      </c>
      <c r="B24" s="29" t="s">
        <v>578</v>
      </c>
      <c r="C24" s="30">
        <f>C25+C26+C27+C28</f>
        <v>47572.100000000006</v>
      </c>
      <c r="D24" s="30">
        <f>D25+D26+D27+D28</f>
        <v>47572.100000000006</v>
      </c>
      <c r="E24" s="30">
        <f t="shared" si="0"/>
        <v>0</v>
      </c>
      <c r="F24" s="30">
        <f>F25+F26+F27+F28</f>
        <v>50033.799999999996</v>
      </c>
      <c r="G24" s="30">
        <f>G25+G26+G27+G28</f>
        <v>51957.6</v>
      </c>
    </row>
    <row r="25" spans="1:7" ht="30.75" customHeight="1">
      <c r="A25" s="235" t="s">
        <v>27</v>
      </c>
      <c r="B25" s="236" t="s">
        <v>28</v>
      </c>
      <c r="C25" s="175">
        <v>7</v>
      </c>
      <c r="D25" s="175">
        <v>7</v>
      </c>
      <c r="E25" s="175">
        <f t="shared" si="0"/>
        <v>0</v>
      </c>
      <c r="F25" s="175">
        <v>0</v>
      </c>
      <c r="G25" s="175">
        <v>0</v>
      </c>
    </row>
    <row r="26" spans="1:7" ht="77.25" customHeight="1">
      <c r="A26" s="72" t="s">
        <v>579</v>
      </c>
      <c r="B26" s="93" t="s">
        <v>580</v>
      </c>
      <c r="C26" s="175">
        <v>46982.8</v>
      </c>
      <c r="D26" s="175">
        <v>46982.8</v>
      </c>
      <c r="E26" s="175">
        <f t="shared" si="0"/>
        <v>0</v>
      </c>
      <c r="F26" s="175">
        <v>49452.7</v>
      </c>
      <c r="G26" s="175">
        <v>51393.7</v>
      </c>
    </row>
    <row r="27" spans="1:7" ht="33" customHeight="1" hidden="1">
      <c r="A27" s="72" t="s">
        <v>707</v>
      </c>
      <c r="B27" s="236" t="s">
        <v>708</v>
      </c>
      <c r="C27" s="175"/>
      <c r="D27" s="175"/>
      <c r="E27" s="175">
        <f t="shared" si="0"/>
        <v>0</v>
      </c>
      <c r="F27" s="175"/>
      <c r="G27" s="175"/>
    </row>
    <row r="28" spans="1:7" ht="81" customHeight="1">
      <c r="A28" s="72" t="s">
        <v>581</v>
      </c>
      <c r="B28" s="236" t="s">
        <v>582</v>
      </c>
      <c r="C28" s="175">
        <v>582.3</v>
      </c>
      <c r="D28" s="175">
        <v>582.3</v>
      </c>
      <c r="E28" s="175">
        <f t="shared" si="0"/>
        <v>0</v>
      </c>
      <c r="F28" s="175">
        <v>581.1</v>
      </c>
      <c r="G28" s="175">
        <v>563.9</v>
      </c>
    </row>
    <row r="29" spans="1:7" ht="31.5" customHeight="1">
      <c r="A29" s="28" t="s">
        <v>583</v>
      </c>
      <c r="B29" s="29" t="s">
        <v>584</v>
      </c>
      <c r="C29" s="30">
        <f>C30</f>
        <v>14000</v>
      </c>
      <c r="D29" s="30">
        <f>D30</f>
        <v>14000</v>
      </c>
      <c r="E29" s="30">
        <f t="shared" si="0"/>
        <v>0</v>
      </c>
      <c r="F29" s="30">
        <f>F30</f>
        <v>9370.4</v>
      </c>
      <c r="G29" s="30">
        <f>G30</f>
        <v>9685.9</v>
      </c>
    </row>
    <row r="30" spans="1:7" ht="20.25" customHeight="1">
      <c r="A30" s="72" t="s">
        <v>585</v>
      </c>
      <c r="B30" s="191" t="s">
        <v>586</v>
      </c>
      <c r="C30" s="175">
        <v>14000</v>
      </c>
      <c r="D30" s="175">
        <v>14000</v>
      </c>
      <c r="E30" s="175">
        <f t="shared" si="0"/>
        <v>0</v>
      </c>
      <c r="F30" s="175">
        <v>9370.4</v>
      </c>
      <c r="G30" s="175">
        <v>9685.9</v>
      </c>
    </row>
    <row r="31" spans="1:7" ht="30" customHeight="1">
      <c r="A31" s="28" t="s">
        <v>587</v>
      </c>
      <c r="B31" s="29" t="s">
        <v>588</v>
      </c>
      <c r="C31" s="30">
        <f>C32+C33</f>
        <v>574.4</v>
      </c>
      <c r="D31" s="30">
        <f>D32+D33</f>
        <v>574.4</v>
      </c>
      <c r="E31" s="30">
        <f t="shared" si="0"/>
        <v>0</v>
      </c>
      <c r="F31" s="175">
        <f>F32+F33</f>
        <v>0</v>
      </c>
      <c r="G31" s="175">
        <f>G32+G33</f>
        <v>0</v>
      </c>
    </row>
    <row r="32" spans="1:7" ht="0.75" customHeight="1">
      <c r="A32" s="72" t="s">
        <v>5</v>
      </c>
      <c r="B32" s="191" t="s">
        <v>6</v>
      </c>
      <c r="C32" s="175"/>
      <c r="D32" s="175"/>
      <c r="E32" s="30">
        <f t="shared" si="0"/>
        <v>0</v>
      </c>
      <c r="F32" s="175"/>
      <c r="G32" s="175"/>
    </row>
    <row r="33" spans="1:7" ht="33" customHeight="1">
      <c r="A33" s="72" t="s">
        <v>7</v>
      </c>
      <c r="B33" s="191" t="s">
        <v>8</v>
      </c>
      <c r="C33" s="175">
        <v>574.4</v>
      </c>
      <c r="D33" s="175">
        <v>574.4</v>
      </c>
      <c r="E33" s="175">
        <f t="shared" si="0"/>
        <v>0</v>
      </c>
      <c r="F33" s="175">
        <v>0</v>
      </c>
      <c r="G33" s="175">
        <v>0</v>
      </c>
    </row>
    <row r="34" spans="1:7" ht="30.75" customHeight="1">
      <c r="A34" s="28" t="s">
        <v>589</v>
      </c>
      <c r="B34" s="29" t="s">
        <v>590</v>
      </c>
      <c r="C34" s="30">
        <f>C35+C36+C39</f>
        <v>53800</v>
      </c>
      <c r="D34" s="30">
        <f>D35+D36+D39</f>
        <v>55464.7</v>
      </c>
      <c r="E34" s="30">
        <f t="shared" si="0"/>
        <v>1664.699999999997</v>
      </c>
      <c r="F34" s="30">
        <f>F35+F36+F39</f>
        <v>14850</v>
      </c>
      <c r="G34" s="30">
        <f>G35+G36+G39</f>
        <v>14400</v>
      </c>
    </row>
    <row r="35" spans="1:7" ht="86.25" customHeight="1" hidden="1">
      <c r="A35" s="72" t="s">
        <v>591</v>
      </c>
      <c r="B35" s="74" t="s">
        <v>592</v>
      </c>
      <c r="C35" s="175"/>
      <c r="D35" s="175"/>
      <c r="E35" s="175">
        <f t="shared" si="0"/>
        <v>0</v>
      </c>
      <c r="F35" s="175"/>
      <c r="G35" s="175"/>
    </row>
    <row r="36" spans="1:7" ht="39.75" customHeight="1">
      <c r="A36" s="72" t="s">
        <v>593</v>
      </c>
      <c r="B36" s="74" t="s">
        <v>594</v>
      </c>
      <c r="C36" s="175">
        <v>50150</v>
      </c>
      <c r="D36" s="175">
        <v>51390.5</v>
      </c>
      <c r="E36" s="175">
        <f t="shared" si="0"/>
        <v>1240.5</v>
      </c>
      <c r="F36" s="175">
        <v>12500</v>
      </c>
      <c r="G36" s="175">
        <v>11500</v>
      </c>
    </row>
    <row r="37" spans="1:7" ht="15" hidden="1">
      <c r="A37" s="28" t="s">
        <v>595</v>
      </c>
      <c r="B37" s="29" t="s">
        <v>596</v>
      </c>
      <c r="C37" s="175"/>
      <c r="D37" s="175"/>
      <c r="E37" s="175">
        <f t="shared" si="0"/>
        <v>0</v>
      </c>
      <c r="F37" s="175"/>
      <c r="G37" s="175"/>
    </row>
    <row r="38" spans="1:7" ht="30.75" customHeight="1" hidden="1">
      <c r="A38" s="72" t="s">
        <v>597</v>
      </c>
      <c r="B38" s="191" t="s">
        <v>598</v>
      </c>
      <c r="C38" s="175"/>
      <c r="D38" s="175"/>
      <c r="E38" s="175">
        <f t="shared" si="0"/>
        <v>0</v>
      </c>
      <c r="F38" s="175"/>
      <c r="G38" s="175"/>
    </row>
    <row r="39" spans="1:7" ht="75" customHeight="1">
      <c r="A39" s="72" t="s">
        <v>599</v>
      </c>
      <c r="B39" s="191" t="s">
        <v>600</v>
      </c>
      <c r="C39" s="175">
        <v>3650</v>
      </c>
      <c r="D39" s="175">
        <v>4074.2</v>
      </c>
      <c r="E39" s="175">
        <f t="shared" si="0"/>
        <v>424.1999999999998</v>
      </c>
      <c r="F39" s="175">
        <v>2350</v>
      </c>
      <c r="G39" s="175">
        <v>2900</v>
      </c>
    </row>
    <row r="40" spans="1:7" ht="15" customHeight="1">
      <c r="A40" s="28" t="s">
        <v>601</v>
      </c>
      <c r="B40" s="29" t="s">
        <v>602</v>
      </c>
      <c r="C40" s="30">
        <v>9100</v>
      </c>
      <c r="D40" s="30">
        <v>9100</v>
      </c>
      <c r="E40" s="30">
        <f t="shared" si="0"/>
        <v>0</v>
      </c>
      <c r="F40" s="30">
        <v>9200</v>
      </c>
      <c r="G40" s="30">
        <v>9300</v>
      </c>
    </row>
    <row r="41" spans="1:7" ht="20.25" customHeight="1">
      <c r="A41" s="28" t="s">
        <v>603</v>
      </c>
      <c r="B41" s="29" t="s">
        <v>604</v>
      </c>
      <c r="C41" s="30">
        <f>C42</f>
        <v>1116.9</v>
      </c>
      <c r="D41" s="30">
        <f>D42</f>
        <v>1116.9</v>
      </c>
      <c r="E41" s="30">
        <f t="shared" si="0"/>
        <v>0</v>
      </c>
      <c r="F41" s="30">
        <f>F42</f>
        <v>566.1</v>
      </c>
      <c r="G41" s="30">
        <f>G42</f>
        <v>566.1</v>
      </c>
    </row>
    <row r="42" spans="1:7" ht="17.25" customHeight="1">
      <c r="A42" s="72" t="s">
        <v>605</v>
      </c>
      <c r="B42" s="191" t="s">
        <v>9</v>
      </c>
      <c r="C42" s="175">
        <v>1116.9</v>
      </c>
      <c r="D42" s="175">
        <v>1116.9</v>
      </c>
      <c r="E42" s="175">
        <f t="shared" si="0"/>
        <v>0</v>
      </c>
      <c r="F42" s="175">
        <v>566.1</v>
      </c>
      <c r="G42" s="175">
        <v>566.1</v>
      </c>
    </row>
    <row r="43" spans="1:7" ht="18" customHeight="1">
      <c r="A43" s="28" t="s">
        <v>606</v>
      </c>
      <c r="B43" s="29" t="s">
        <v>607</v>
      </c>
      <c r="C43" s="30">
        <f>'Пр.3'!C13</f>
        <v>1813392.2000000007</v>
      </c>
      <c r="D43" s="30">
        <f>'Пр.3'!D13</f>
        <v>1839589.5000000007</v>
      </c>
      <c r="E43" s="30">
        <f t="shared" si="0"/>
        <v>26197.300000000047</v>
      </c>
      <c r="F43" s="30">
        <f>'Пр.3'!F13</f>
        <v>1766492.3</v>
      </c>
      <c r="G43" s="30">
        <f>'Пр.3'!G13</f>
        <v>2063933.9</v>
      </c>
    </row>
    <row r="44" spans="1:7" ht="18" customHeight="1">
      <c r="A44" s="28"/>
      <c r="B44" s="29" t="s">
        <v>608</v>
      </c>
      <c r="C44" s="30">
        <f>C13+C43</f>
        <v>2631840.2000000007</v>
      </c>
      <c r="D44" s="30">
        <f>D13+D43</f>
        <v>2659702.2000000007</v>
      </c>
      <c r="E44" s="30">
        <f t="shared" si="0"/>
        <v>27862</v>
      </c>
      <c r="F44" s="30">
        <f>F13+F43</f>
        <v>2582954</v>
      </c>
      <c r="G44" s="30">
        <f>G13+G43</f>
        <v>2927319.1999999997</v>
      </c>
    </row>
  </sheetData>
  <sheetProtection/>
  <mergeCells count="4">
    <mergeCell ref="A8:F8"/>
    <mergeCell ref="B10:B12"/>
    <mergeCell ref="A11:A12"/>
    <mergeCell ref="C10:G11"/>
  </mergeCells>
  <printOptions/>
  <pageMargins left="0.7086614173228347" right="0.11811023622047245" top="0.7480314960629921" bottom="0.35433070866141736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G5" sqref="G5"/>
    </sheetView>
  </sheetViews>
  <sheetFormatPr defaultColWidth="97.8515625" defaultRowHeight="15"/>
  <cols>
    <col min="1" max="1" width="24.421875" style="195" customWidth="1"/>
    <col min="2" max="2" width="45.57421875" style="221" customWidth="1"/>
    <col min="3" max="3" width="13.00390625" style="197" hidden="1" customWidth="1"/>
    <col min="4" max="4" width="12.421875" style="224" customWidth="1"/>
    <col min="5" max="5" width="12.00390625" style="197" hidden="1" customWidth="1"/>
    <col min="6" max="6" width="11.57421875" style="195" customWidth="1"/>
    <col min="7" max="7" width="12.00390625" style="195" customWidth="1"/>
    <col min="8" max="207" width="10.00390625" style="195" customWidth="1"/>
    <col min="208" max="208" width="25.421875" style="195" customWidth="1"/>
    <col min="209" max="16384" width="97.8515625" style="195" customWidth="1"/>
  </cols>
  <sheetData>
    <row r="1" spans="2:7" s="192" customFormat="1" ht="15">
      <c r="B1" s="193"/>
      <c r="C1" s="19"/>
      <c r="D1" s="26"/>
      <c r="E1" s="25"/>
      <c r="F1" s="26"/>
      <c r="G1" s="25" t="s">
        <v>0</v>
      </c>
    </row>
    <row r="2" spans="2:7" s="192" customFormat="1" ht="15">
      <c r="B2" s="193"/>
      <c r="C2" s="20"/>
      <c r="D2" s="26"/>
      <c r="E2" s="25"/>
      <c r="F2" s="26"/>
      <c r="G2" s="25" t="s">
        <v>1</v>
      </c>
    </row>
    <row r="3" spans="2:7" s="192" customFormat="1" ht="15">
      <c r="B3" s="193"/>
      <c r="C3" s="20"/>
      <c r="D3" s="26"/>
      <c r="E3" s="25"/>
      <c r="F3" s="26"/>
      <c r="G3" s="25" t="s">
        <v>2</v>
      </c>
    </row>
    <row r="4" spans="2:7" s="192" customFormat="1" ht="15">
      <c r="B4" s="193"/>
      <c r="C4" s="20"/>
      <c r="D4" s="26"/>
      <c r="E4" s="25"/>
      <c r="F4" s="26"/>
      <c r="G4" s="25" t="s">
        <v>1260</v>
      </c>
    </row>
    <row r="5" spans="2:7" s="192" customFormat="1" ht="15">
      <c r="B5" s="193"/>
      <c r="C5" s="20"/>
      <c r="D5" s="166"/>
      <c r="E5" s="25"/>
      <c r="F5" s="166"/>
      <c r="G5" s="25" t="s">
        <v>790</v>
      </c>
    </row>
    <row r="6" spans="2:5" s="192" customFormat="1" ht="15">
      <c r="B6" s="193"/>
      <c r="C6" s="194"/>
      <c r="D6" s="222"/>
      <c r="E6" s="194"/>
    </row>
    <row r="7" spans="2:5" s="192" customFormat="1" ht="15">
      <c r="B7" s="193"/>
      <c r="C7" s="194"/>
      <c r="D7" s="222"/>
      <c r="E7" s="194"/>
    </row>
    <row r="8" spans="1:5" ht="42" customHeight="1">
      <c r="A8" s="458" t="s">
        <v>880</v>
      </c>
      <c r="B8" s="458"/>
      <c r="C8" s="459"/>
      <c r="D8" s="459"/>
      <c r="E8" s="459"/>
    </row>
    <row r="9" spans="1:5" ht="14.25" customHeight="1">
      <c r="A9" s="170"/>
      <c r="B9" s="170"/>
      <c r="C9" s="196"/>
      <c r="D9" s="223"/>
      <c r="E9" s="196"/>
    </row>
    <row r="10" spans="1:2" ht="14.25" customHeight="1">
      <c r="A10" s="197"/>
      <c r="B10" s="198"/>
    </row>
    <row r="11" spans="1:7" s="199" customFormat="1" ht="28.5" customHeight="1">
      <c r="A11" s="460" t="s">
        <v>609</v>
      </c>
      <c r="B11" s="461" t="s">
        <v>554</v>
      </c>
      <c r="C11" s="64"/>
      <c r="D11" s="464" t="s">
        <v>861</v>
      </c>
      <c r="E11" s="464"/>
      <c r="F11" s="464"/>
      <c r="G11" s="465"/>
    </row>
    <row r="12" spans="1:7" s="199" customFormat="1" ht="50.25" customHeight="1">
      <c r="A12" s="460"/>
      <c r="B12" s="461"/>
      <c r="C12" s="63" t="s">
        <v>881</v>
      </c>
      <c r="D12" s="63" t="s">
        <v>879</v>
      </c>
      <c r="E12" s="63" t="s">
        <v>810</v>
      </c>
      <c r="F12" s="201" t="s">
        <v>743</v>
      </c>
      <c r="G12" s="201" t="s">
        <v>878</v>
      </c>
    </row>
    <row r="13" spans="1:7" ht="24" customHeight="1">
      <c r="A13" s="28" t="s">
        <v>606</v>
      </c>
      <c r="B13" s="29" t="s">
        <v>607</v>
      </c>
      <c r="C13" s="23">
        <f>C14+C100</f>
        <v>1813392.2000000007</v>
      </c>
      <c r="D13" s="23">
        <f>D14+D100</f>
        <v>1839589.5000000007</v>
      </c>
      <c r="E13" s="200">
        <f aca="true" t="shared" si="0" ref="E13:E18">D13-C13</f>
        <v>26197.300000000047</v>
      </c>
      <c r="F13" s="23">
        <f>F14+F97</f>
        <v>1766492.3</v>
      </c>
      <c r="G13" s="23">
        <f>G14+G97</f>
        <v>2063933.9</v>
      </c>
    </row>
    <row r="14" spans="1:7" ht="51.75" customHeight="1">
      <c r="A14" s="201" t="s">
        <v>1115</v>
      </c>
      <c r="B14" s="202" t="s">
        <v>610</v>
      </c>
      <c r="C14" s="200">
        <f>C53+C15+C84+C18</f>
        <v>1813392.2000000007</v>
      </c>
      <c r="D14" s="200">
        <f>D53+D15+D84+D18</f>
        <v>1839589.5000000007</v>
      </c>
      <c r="E14" s="200">
        <f t="shared" si="0"/>
        <v>26197.300000000047</v>
      </c>
      <c r="F14" s="200">
        <f>F15+F18+F53+F84</f>
        <v>1766492.3</v>
      </c>
      <c r="G14" s="200">
        <f>G15+G18+G53+G84</f>
        <v>2063933.9</v>
      </c>
    </row>
    <row r="15" spans="1:7" ht="48.75" customHeight="1">
      <c r="A15" s="28" t="s">
        <v>1116</v>
      </c>
      <c r="B15" s="29" t="s">
        <v>611</v>
      </c>
      <c r="C15" s="200">
        <f>C16+C17</f>
        <v>84233.3</v>
      </c>
      <c r="D15" s="200">
        <f>D16+D17</f>
        <v>84233.3</v>
      </c>
      <c r="E15" s="200">
        <f t="shared" si="0"/>
        <v>0</v>
      </c>
      <c r="F15" s="200">
        <f>F16+F17</f>
        <v>70972.1</v>
      </c>
      <c r="G15" s="200">
        <f>G16+G17</f>
        <v>67219</v>
      </c>
    </row>
    <row r="16" spans="1:7" ht="51" customHeight="1">
      <c r="A16" s="201" t="s">
        <v>1117</v>
      </c>
      <c r="B16" s="202" t="s">
        <v>10</v>
      </c>
      <c r="C16" s="200">
        <v>84233.3</v>
      </c>
      <c r="D16" s="200">
        <v>84233.3</v>
      </c>
      <c r="E16" s="200">
        <f t="shared" si="0"/>
        <v>0</v>
      </c>
      <c r="F16" s="200">
        <v>70972.1</v>
      </c>
      <c r="G16" s="200">
        <v>67219</v>
      </c>
    </row>
    <row r="17" spans="1:7" ht="49.5" customHeight="1" hidden="1">
      <c r="A17" s="201" t="s">
        <v>1103</v>
      </c>
      <c r="B17" s="202" t="s">
        <v>11</v>
      </c>
      <c r="C17" s="200"/>
      <c r="D17" s="200"/>
      <c r="E17" s="200">
        <f t="shared" si="0"/>
        <v>0</v>
      </c>
      <c r="F17" s="225"/>
      <c r="G17" s="225"/>
    </row>
    <row r="18" spans="1:7" ht="48" customHeight="1">
      <c r="A18" s="201" t="s">
        <v>1128</v>
      </c>
      <c r="B18" s="202" t="s">
        <v>612</v>
      </c>
      <c r="C18" s="200">
        <f>C25+C20+C19+C24+C22+C21+C23</f>
        <v>207724.7</v>
      </c>
      <c r="D18" s="200">
        <f>D25+D20+D19+D24+D22+D21+D23</f>
        <v>212569.1</v>
      </c>
      <c r="E18" s="200">
        <f t="shared" si="0"/>
        <v>4844.399999999994</v>
      </c>
      <c r="F18" s="200">
        <f>F25+F20+F19+F24+F22+F21</f>
        <v>299343.5</v>
      </c>
      <c r="G18" s="200">
        <f>G25+G20+G19+G24+G22+G21</f>
        <v>560232.9</v>
      </c>
    </row>
    <row r="19" spans="1:7" ht="54.75" customHeight="1">
      <c r="A19" s="203" t="s">
        <v>1129</v>
      </c>
      <c r="B19" s="204" t="s">
        <v>25</v>
      </c>
      <c r="C19" s="205">
        <f>100000+50000</f>
        <v>150000</v>
      </c>
      <c r="D19" s="205">
        <f>100000+50000</f>
        <v>150000</v>
      </c>
      <c r="E19" s="205">
        <f>D19-C19</f>
        <v>0</v>
      </c>
      <c r="F19" s="225">
        <v>260000</v>
      </c>
      <c r="G19" s="225">
        <v>522600</v>
      </c>
    </row>
    <row r="20" spans="1:7" ht="96" customHeight="1">
      <c r="A20" s="203" t="s">
        <v>1130</v>
      </c>
      <c r="B20" s="206" t="s">
        <v>613</v>
      </c>
      <c r="C20" s="205">
        <f>22.5-22.5</f>
        <v>0</v>
      </c>
      <c r="D20" s="205">
        <f>22.5-22.5</f>
        <v>0</v>
      </c>
      <c r="E20" s="205">
        <f aca="true" t="shared" si="1" ref="E20:E79">D20-C20</f>
        <v>0</v>
      </c>
      <c r="F20" s="205">
        <v>22.5</v>
      </c>
      <c r="G20" s="205">
        <v>22.5</v>
      </c>
    </row>
    <row r="21" spans="1:7" ht="62.25" customHeight="1">
      <c r="A21" s="207" t="s">
        <v>1113</v>
      </c>
      <c r="B21" s="206" t="s">
        <v>870</v>
      </c>
      <c r="C21" s="205">
        <v>1648.9</v>
      </c>
      <c r="D21" s="205">
        <v>1648.9</v>
      </c>
      <c r="E21" s="205">
        <f t="shared" si="1"/>
        <v>0</v>
      </c>
      <c r="F21" s="205"/>
      <c r="G21" s="205"/>
    </row>
    <row r="22" spans="1:7" ht="69.75" customHeight="1">
      <c r="A22" s="207" t="s">
        <v>1131</v>
      </c>
      <c r="B22" s="206" t="s">
        <v>1114</v>
      </c>
      <c r="C22" s="205">
        <v>2115.7</v>
      </c>
      <c r="D22" s="205">
        <v>2115.7</v>
      </c>
      <c r="E22" s="205">
        <f t="shared" si="1"/>
        <v>0</v>
      </c>
      <c r="F22" s="205"/>
      <c r="G22" s="205"/>
    </row>
    <row r="23" spans="1:7" ht="67.5" customHeight="1">
      <c r="A23" s="207" t="s">
        <v>1201</v>
      </c>
      <c r="B23" s="206" t="s">
        <v>1202</v>
      </c>
      <c r="C23" s="205"/>
      <c r="D23" s="205">
        <v>4844.5</v>
      </c>
      <c r="E23" s="205">
        <f t="shared" si="1"/>
        <v>4844.5</v>
      </c>
      <c r="F23" s="205"/>
      <c r="G23" s="205"/>
    </row>
    <row r="24" spans="1:7" ht="42" customHeight="1">
      <c r="A24" s="203" t="s">
        <v>1132</v>
      </c>
      <c r="B24" s="208" t="s">
        <v>712</v>
      </c>
      <c r="C24" s="205">
        <f>300.1+666.1+2947.4</f>
        <v>3913.6000000000004</v>
      </c>
      <c r="D24" s="205">
        <f>300.1+666.1+2947.4</f>
        <v>3913.6000000000004</v>
      </c>
      <c r="E24" s="205">
        <f t="shared" si="1"/>
        <v>0</v>
      </c>
      <c r="F24" s="205">
        <f>745.7+366.1+300.1</f>
        <v>1411.9</v>
      </c>
      <c r="G24" s="205">
        <f>745.7+366.1+300.1</f>
        <v>1411.9</v>
      </c>
    </row>
    <row r="25" spans="1:7" ht="33" customHeight="1">
      <c r="A25" s="446" t="s">
        <v>1104</v>
      </c>
      <c r="B25" s="204" t="s">
        <v>12</v>
      </c>
      <c r="C25" s="205">
        <f>SUM(C26:C52)</f>
        <v>50046.49999999999</v>
      </c>
      <c r="D25" s="205">
        <f>SUM(D26:D52)</f>
        <v>50046.399999999994</v>
      </c>
      <c r="E25" s="205">
        <f t="shared" si="1"/>
        <v>-0.09999999999854481</v>
      </c>
      <c r="F25" s="205">
        <f>SUM(F26:F50)</f>
        <v>37909.1</v>
      </c>
      <c r="G25" s="205">
        <f>SUM(G26:G50)</f>
        <v>36198.49999999999</v>
      </c>
    </row>
    <row r="26" spans="1:7" ht="33.75" customHeight="1">
      <c r="A26" s="447"/>
      <c r="B26" s="204" t="s">
        <v>614</v>
      </c>
      <c r="C26" s="205">
        <v>16.2</v>
      </c>
      <c r="D26" s="205">
        <v>16.2</v>
      </c>
      <c r="E26" s="205">
        <f t="shared" si="1"/>
        <v>0</v>
      </c>
      <c r="F26" s="205">
        <v>16.2</v>
      </c>
      <c r="G26" s="205">
        <v>16.2</v>
      </c>
    </row>
    <row r="27" spans="1:7" ht="93.75" customHeight="1" hidden="1">
      <c r="A27" s="447"/>
      <c r="B27" s="204" t="s">
        <v>615</v>
      </c>
      <c r="C27" s="205"/>
      <c r="D27" s="205"/>
      <c r="E27" s="205">
        <f t="shared" si="1"/>
        <v>0</v>
      </c>
      <c r="F27" s="205"/>
      <c r="G27" s="205"/>
    </row>
    <row r="28" spans="1:7" ht="46.5" customHeight="1" hidden="1">
      <c r="A28" s="447"/>
      <c r="B28" s="204" t="s">
        <v>616</v>
      </c>
      <c r="C28" s="203"/>
      <c r="D28" s="205"/>
      <c r="E28" s="205">
        <f t="shared" si="1"/>
        <v>0</v>
      </c>
      <c r="F28" s="205"/>
      <c r="G28" s="205"/>
    </row>
    <row r="29" spans="1:7" ht="36" customHeight="1">
      <c r="A29" s="447"/>
      <c r="B29" s="204" t="s">
        <v>617</v>
      </c>
      <c r="C29" s="205">
        <v>109</v>
      </c>
      <c r="D29" s="205">
        <v>109</v>
      </c>
      <c r="E29" s="205">
        <f t="shared" si="1"/>
        <v>0</v>
      </c>
      <c r="F29" s="205">
        <v>109</v>
      </c>
      <c r="G29" s="205">
        <v>109</v>
      </c>
    </row>
    <row r="30" spans="1:7" ht="31.5" customHeight="1">
      <c r="A30" s="447"/>
      <c r="B30" s="204" t="s">
        <v>618</v>
      </c>
      <c r="C30" s="205">
        <v>2112.5</v>
      </c>
      <c r="D30" s="205">
        <v>2112.5</v>
      </c>
      <c r="E30" s="205">
        <f t="shared" si="1"/>
        <v>0</v>
      </c>
      <c r="F30" s="205">
        <v>1932.5</v>
      </c>
      <c r="G30" s="205">
        <v>2132.5</v>
      </c>
    </row>
    <row r="31" spans="1:7" ht="33.75" customHeight="1">
      <c r="A31" s="447"/>
      <c r="B31" s="204" t="s">
        <v>619</v>
      </c>
      <c r="C31" s="205">
        <v>1898.8</v>
      </c>
      <c r="D31" s="205">
        <v>1898.8</v>
      </c>
      <c r="E31" s="205">
        <f t="shared" si="1"/>
        <v>0</v>
      </c>
      <c r="F31" s="205">
        <v>1898.8</v>
      </c>
      <c r="G31" s="205">
        <v>1898.8</v>
      </c>
    </row>
    <row r="32" spans="1:7" ht="35.25" customHeight="1">
      <c r="A32" s="447"/>
      <c r="B32" s="204" t="s">
        <v>620</v>
      </c>
      <c r="C32" s="205">
        <v>26064.2</v>
      </c>
      <c r="D32" s="205">
        <v>26064.2</v>
      </c>
      <c r="E32" s="205">
        <f t="shared" si="1"/>
        <v>0</v>
      </c>
      <c r="F32" s="205">
        <v>22914.2</v>
      </c>
      <c r="G32" s="205">
        <v>20934.2</v>
      </c>
    </row>
    <row r="33" spans="1:7" ht="30" customHeight="1">
      <c r="A33" s="447"/>
      <c r="B33" s="204" t="s">
        <v>621</v>
      </c>
      <c r="C33" s="205">
        <v>450</v>
      </c>
      <c r="D33" s="205">
        <v>450</v>
      </c>
      <c r="E33" s="205">
        <f t="shared" si="1"/>
        <v>0</v>
      </c>
      <c r="F33" s="205">
        <v>450</v>
      </c>
      <c r="G33" s="205">
        <v>450</v>
      </c>
    </row>
    <row r="34" spans="1:7" ht="30" customHeight="1">
      <c r="A34" s="447"/>
      <c r="B34" s="208" t="s">
        <v>1133</v>
      </c>
      <c r="C34" s="205">
        <v>774</v>
      </c>
      <c r="D34" s="205">
        <v>774</v>
      </c>
      <c r="E34" s="205">
        <f t="shared" si="1"/>
        <v>0</v>
      </c>
      <c r="F34" s="205">
        <v>774</v>
      </c>
      <c r="G34" s="205">
        <v>774</v>
      </c>
    </row>
    <row r="35" spans="1:7" ht="36" customHeight="1" hidden="1">
      <c r="A35" s="447"/>
      <c r="B35" s="204" t="s">
        <v>622</v>
      </c>
      <c r="C35" s="205"/>
      <c r="D35" s="205"/>
      <c r="E35" s="205">
        <f t="shared" si="1"/>
        <v>0</v>
      </c>
      <c r="F35" s="205"/>
      <c r="G35" s="205"/>
    </row>
    <row r="36" spans="1:7" ht="47.25" customHeight="1" hidden="1">
      <c r="A36" s="447"/>
      <c r="B36" s="204" t="s">
        <v>623</v>
      </c>
      <c r="C36" s="205"/>
      <c r="D36" s="205"/>
      <c r="E36" s="205">
        <f t="shared" si="1"/>
        <v>0</v>
      </c>
      <c r="F36" s="205"/>
      <c r="G36" s="205"/>
    </row>
    <row r="37" spans="1:7" ht="83.25" customHeight="1">
      <c r="A37" s="447"/>
      <c r="B37" s="204" t="s">
        <v>624</v>
      </c>
      <c r="C37" s="205">
        <f>191.3-17.3</f>
        <v>174</v>
      </c>
      <c r="D37" s="205">
        <f>191.3-17.3</f>
        <v>174</v>
      </c>
      <c r="E37" s="205">
        <f t="shared" si="1"/>
        <v>0</v>
      </c>
      <c r="F37" s="205">
        <v>195.3</v>
      </c>
      <c r="G37" s="205">
        <v>195.3</v>
      </c>
    </row>
    <row r="38" spans="1:7" ht="45.75" customHeight="1">
      <c r="A38" s="447"/>
      <c r="B38" s="204" t="s">
        <v>789</v>
      </c>
      <c r="C38" s="205">
        <v>6804.5</v>
      </c>
      <c r="D38" s="205">
        <v>6804.5</v>
      </c>
      <c r="E38" s="205">
        <f t="shared" si="1"/>
        <v>0</v>
      </c>
      <c r="F38" s="205">
        <v>6804.5</v>
      </c>
      <c r="G38" s="205">
        <v>6804.5</v>
      </c>
    </row>
    <row r="39" spans="1:7" ht="49.5" customHeight="1" hidden="1">
      <c r="A39" s="447"/>
      <c r="B39" s="204" t="s">
        <v>625</v>
      </c>
      <c r="C39" s="203"/>
      <c r="D39" s="205"/>
      <c r="E39" s="205">
        <f t="shared" si="1"/>
        <v>0</v>
      </c>
      <c r="F39" s="225"/>
      <c r="G39" s="225"/>
    </row>
    <row r="40" spans="1:7" ht="25.5" customHeight="1" hidden="1">
      <c r="A40" s="447"/>
      <c r="B40" s="204" t="s">
        <v>626</v>
      </c>
      <c r="C40" s="205"/>
      <c r="D40" s="205"/>
      <c r="E40" s="205">
        <f t="shared" si="1"/>
        <v>0</v>
      </c>
      <c r="F40" s="225"/>
      <c r="G40" s="225"/>
    </row>
    <row r="41" spans="1:7" ht="81.75" customHeight="1" hidden="1">
      <c r="A41" s="447"/>
      <c r="B41" s="204" t="s">
        <v>627</v>
      </c>
      <c r="C41" s="203"/>
      <c r="D41" s="205"/>
      <c r="E41" s="205">
        <f t="shared" si="1"/>
        <v>0</v>
      </c>
      <c r="F41" s="225"/>
      <c r="G41" s="225"/>
    </row>
    <row r="42" spans="1:7" ht="51" customHeight="1">
      <c r="A42" s="447"/>
      <c r="B42" s="204" t="s">
        <v>628</v>
      </c>
      <c r="C42" s="205">
        <v>944.7</v>
      </c>
      <c r="D42" s="205">
        <v>944.7</v>
      </c>
      <c r="E42" s="205">
        <f t="shared" si="1"/>
        <v>0</v>
      </c>
      <c r="F42" s="205">
        <v>944.7</v>
      </c>
      <c r="G42" s="205">
        <v>944.7</v>
      </c>
    </row>
    <row r="43" spans="1:7" ht="55.5" customHeight="1" hidden="1">
      <c r="A43" s="447"/>
      <c r="B43" s="204" t="s">
        <v>629</v>
      </c>
      <c r="C43" s="203"/>
      <c r="D43" s="205"/>
      <c r="E43" s="205">
        <f t="shared" si="1"/>
        <v>0</v>
      </c>
      <c r="F43" s="225"/>
      <c r="G43" s="225"/>
    </row>
    <row r="44" spans="1:7" ht="78" customHeight="1" hidden="1">
      <c r="A44" s="447"/>
      <c r="B44" s="204" t="s">
        <v>630</v>
      </c>
      <c r="C44" s="203"/>
      <c r="D44" s="205"/>
      <c r="E44" s="205">
        <f t="shared" si="1"/>
        <v>0</v>
      </c>
      <c r="F44" s="225"/>
      <c r="G44" s="225"/>
    </row>
    <row r="45" spans="1:7" ht="39.75" customHeight="1" hidden="1">
      <c r="A45" s="447"/>
      <c r="B45" s="204" t="s">
        <v>631</v>
      </c>
      <c r="C45" s="209"/>
      <c r="D45" s="205"/>
      <c r="E45" s="205">
        <f t="shared" si="1"/>
        <v>0</v>
      </c>
      <c r="F45" s="225"/>
      <c r="G45" s="225"/>
    </row>
    <row r="46" spans="1:7" ht="62.25" customHeight="1">
      <c r="A46" s="447"/>
      <c r="B46" s="204" t="s">
        <v>1136</v>
      </c>
      <c r="C46" s="205">
        <v>1734.7</v>
      </c>
      <c r="D46" s="205">
        <v>1734.7</v>
      </c>
      <c r="E46" s="205">
        <f t="shared" si="1"/>
        <v>0</v>
      </c>
      <c r="F46" s="205">
        <v>1745.8</v>
      </c>
      <c r="G46" s="205">
        <v>1815.2</v>
      </c>
    </row>
    <row r="47" spans="1:7" ht="52.5" customHeight="1" hidden="1">
      <c r="A47" s="447"/>
      <c r="B47" s="204" t="s">
        <v>632</v>
      </c>
      <c r="C47" s="209"/>
      <c r="D47" s="205"/>
      <c r="E47" s="205">
        <f t="shared" si="1"/>
        <v>0</v>
      </c>
      <c r="F47" s="225"/>
      <c r="G47" s="225"/>
    </row>
    <row r="48" spans="1:7" ht="49.5" customHeight="1">
      <c r="A48" s="447"/>
      <c r="B48" s="204" t="s">
        <v>633</v>
      </c>
      <c r="C48" s="205">
        <v>124.1</v>
      </c>
      <c r="D48" s="205">
        <f>124.1-0.1</f>
        <v>124</v>
      </c>
      <c r="E48" s="205">
        <f t="shared" si="1"/>
        <v>-0.09999999999999432</v>
      </c>
      <c r="F48" s="205">
        <v>124.1</v>
      </c>
      <c r="G48" s="205">
        <v>124.1</v>
      </c>
    </row>
    <row r="49" spans="1:7" ht="31.5" customHeight="1" hidden="1">
      <c r="A49" s="447"/>
      <c r="B49" s="204" t="s">
        <v>634</v>
      </c>
      <c r="C49" s="209"/>
      <c r="D49" s="205"/>
      <c r="E49" s="205">
        <f t="shared" si="1"/>
        <v>0</v>
      </c>
      <c r="F49" s="200"/>
      <c r="G49" s="200"/>
    </row>
    <row r="50" spans="1:7" ht="82.5" customHeight="1">
      <c r="A50" s="447"/>
      <c r="B50" s="204" t="s">
        <v>1141</v>
      </c>
      <c r="C50" s="205">
        <v>1350</v>
      </c>
      <c r="D50" s="205">
        <v>1350</v>
      </c>
      <c r="E50" s="205">
        <f t="shared" si="1"/>
        <v>0</v>
      </c>
      <c r="F50" s="205"/>
      <c r="G50" s="205"/>
    </row>
    <row r="51" spans="1:7" ht="52.5" customHeight="1">
      <c r="A51" s="448"/>
      <c r="B51" s="204" t="s">
        <v>634</v>
      </c>
      <c r="C51" s="205">
        <v>6720</v>
      </c>
      <c r="D51" s="205">
        <v>6720</v>
      </c>
      <c r="E51" s="205">
        <f t="shared" si="1"/>
        <v>0</v>
      </c>
      <c r="F51" s="205"/>
      <c r="G51" s="205"/>
    </row>
    <row r="52" spans="1:7" ht="52.5" customHeight="1">
      <c r="A52" s="449"/>
      <c r="B52" s="204" t="s">
        <v>1170</v>
      </c>
      <c r="C52" s="205">
        <v>769.8</v>
      </c>
      <c r="D52" s="205">
        <v>769.8</v>
      </c>
      <c r="E52" s="205">
        <f t="shared" si="1"/>
        <v>0</v>
      </c>
      <c r="F52" s="205"/>
      <c r="G52" s="205"/>
    </row>
    <row r="53" spans="1:7" ht="45" customHeight="1">
      <c r="A53" s="201" t="s">
        <v>1118</v>
      </c>
      <c r="B53" s="202" t="s">
        <v>635</v>
      </c>
      <c r="C53" s="200">
        <f>C54+C77+C78+C79+C74+C83+C82+C81+C80</f>
        <v>1358250.6000000006</v>
      </c>
      <c r="D53" s="200">
        <f>D54+D77+D78+D79+D74+D83+D82+D81+D80</f>
        <v>1358301.0000000005</v>
      </c>
      <c r="E53" s="200">
        <f t="shared" si="1"/>
        <v>50.39999999990687</v>
      </c>
      <c r="F53" s="200">
        <f>F54+F77+F78+F79+F74+F83+F82+F81+F80</f>
        <v>1309339.5</v>
      </c>
      <c r="G53" s="200">
        <f>G54+G77+G78+G79+G74+G83+G82+G81+G80</f>
        <v>1310717.6</v>
      </c>
    </row>
    <row r="54" spans="1:7" ht="33" customHeight="1">
      <c r="A54" s="453" t="s">
        <v>1119</v>
      </c>
      <c r="B54" s="204" t="s">
        <v>636</v>
      </c>
      <c r="C54" s="205">
        <f>SUM(C55:C73)</f>
        <v>1257741.8000000003</v>
      </c>
      <c r="D54" s="205">
        <f>SUM(D55:D73)</f>
        <v>1257741.8000000003</v>
      </c>
      <c r="E54" s="205">
        <f t="shared" si="1"/>
        <v>0</v>
      </c>
      <c r="F54" s="205">
        <f>SUM(F55:F73)</f>
        <v>1215650.7000000002</v>
      </c>
      <c r="G54" s="205">
        <f>SUM(G55:G73)</f>
        <v>1219428.6</v>
      </c>
    </row>
    <row r="55" spans="1:7" ht="153.75" customHeight="1">
      <c r="A55" s="454"/>
      <c r="B55" s="211" t="s">
        <v>748</v>
      </c>
      <c r="C55" s="205">
        <f>477918.7+30143.9</f>
        <v>508062.60000000003</v>
      </c>
      <c r="D55" s="205">
        <f>477918.7+30143.9</f>
        <v>508062.60000000003</v>
      </c>
      <c r="E55" s="205">
        <f t="shared" si="1"/>
        <v>0</v>
      </c>
      <c r="F55" s="205">
        <v>477918.7</v>
      </c>
      <c r="G55" s="205">
        <v>477918.7</v>
      </c>
    </row>
    <row r="56" spans="1:7" ht="78" customHeight="1">
      <c r="A56" s="454"/>
      <c r="B56" s="204" t="s">
        <v>637</v>
      </c>
      <c r="C56" s="205">
        <v>23758.6</v>
      </c>
      <c r="D56" s="205">
        <v>23758.6</v>
      </c>
      <c r="E56" s="205">
        <f t="shared" si="1"/>
        <v>0</v>
      </c>
      <c r="F56" s="205">
        <v>23758.6</v>
      </c>
      <c r="G56" s="205">
        <v>23758.6</v>
      </c>
    </row>
    <row r="57" spans="1:7" ht="35.25" customHeight="1">
      <c r="A57" s="454"/>
      <c r="B57" s="204" t="s">
        <v>749</v>
      </c>
      <c r="C57" s="205">
        <v>6536.1</v>
      </c>
      <c r="D57" s="205">
        <v>6536.1</v>
      </c>
      <c r="E57" s="205">
        <f t="shared" si="1"/>
        <v>0</v>
      </c>
      <c r="F57" s="205">
        <v>6536.1</v>
      </c>
      <c r="G57" s="205">
        <v>6536.1</v>
      </c>
    </row>
    <row r="58" spans="1:7" ht="153.75" customHeight="1">
      <c r="A58" s="454"/>
      <c r="B58" s="208" t="s">
        <v>638</v>
      </c>
      <c r="C58" s="205">
        <v>42065.4</v>
      </c>
      <c r="D58" s="205">
        <v>42065.4</v>
      </c>
      <c r="E58" s="205">
        <f t="shared" si="1"/>
        <v>0</v>
      </c>
      <c r="F58" s="205">
        <v>42065.4</v>
      </c>
      <c r="G58" s="205">
        <v>42065.4</v>
      </c>
    </row>
    <row r="59" spans="1:7" ht="51.75" customHeight="1">
      <c r="A59" s="454"/>
      <c r="B59" s="204" t="s">
        <v>750</v>
      </c>
      <c r="C59" s="205">
        <v>1689.9</v>
      </c>
      <c r="D59" s="205">
        <v>1689.9</v>
      </c>
      <c r="E59" s="205">
        <f t="shared" si="1"/>
        <v>0</v>
      </c>
      <c r="F59" s="205">
        <v>1689.9</v>
      </c>
      <c r="G59" s="205">
        <v>1689.9</v>
      </c>
    </row>
    <row r="60" spans="1:7" ht="143.25" customHeight="1">
      <c r="A60" s="454"/>
      <c r="B60" s="211" t="s">
        <v>751</v>
      </c>
      <c r="C60" s="205">
        <f>1102.5+73.5</f>
        <v>1176</v>
      </c>
      <c r="D60" s="205">
        <f>1102.5+73.5</f>
        <v>1176</v>
      </c>
      <c r="E60" s="205">
        <f t="shared" si="1"/>
        <v>0</v>
      </c>
      <c r="F60" s="205">
        <v>1102.5</v>
      </c>
      <c r="G60" s="205">
        <v>1102.5</v>
      </c>
    </row>
    <row r="61" spans="1:7" ht="144" customHeight="1">
      <c r="A61" s="454"/>
      <c r="B61" s="214" t="s">
        <v>639</v>
      </c>
      <c r="C61" s="205">
        <v>100</v>
      </c>
      <c r="D61" s="205">
        <v>100</v>
      </c>
      <c r="E61" s="205">
        <f t="shared" si="1"/>
        <v>0</v>
      </c>
      <c r="F61" s="205">
        <v>100</v>
      </c>
      <c r="G61" s="205">
        <v>100</v>
      </c>
    </row>
    <row r="62" spans="1:7" ht="75.75" customHeight="1">
      <c r="A62" s="454"/>
      <c r="B62" s="204" t="s">
        <v>752</v>
      </c>
      <c r="C62" s="205">
        <v>91.5</v>
      </c>
      <c r="D62" s="205">
        <v>91.5</v>
      </c>
      <c r="E62" s="205">
        <f t="shared" si="1"/>
        <v>0</v>
      </c>
      <c r="F62" s="205">
        <v>91.5</v>
      </c>
      <c r="G62" s="205">
        <v>91.5</v>
      </c>
    </row>
    <row r="63" spans="1:7" ht="246" customHeight="1">
      <c r="A63" s="454"/>
      <c r="B63" s="226" t="s">
        <v>1017</v>
      </c>
      <c r="C63" s="205">
        <f>1789.8+319.8</f>
        <v>2109.6</v>
      </c>
      <c r="D63" s="205">
        <f>1789.8+319.8</f>
        <v>2109.6</v>
      </c>
      <c r="E63" s="205">
        <f t="shared" si="1"/>
        <v>0</v>
      </c>
      <c r="F63" s="205">
        <v>1789.8</v>
      </c>
      <c r="G63" s="205">
        <v>1789.8</v>
      </c>
    </row>
    <row r="64" spans="1:7" ht="192.75" customHeight="1">
      <c r="A64" s="454"/>
      <c r="B64" s="211" t="s">
        <v>640</v>
      </c>
      <c r="C64" s="205">
        <f>538711.2+15093.8</f>
        <v>553805</v>
      </c>
      <c r="D64" s="205">
        <f>538711.2+15093.8</f>
        <v>553805</v>
      </c>
      <c r="E64" s="205">
        <f t="shared" si="1"/>
        <v>0</v>
      </c>
      <c r="F64" s="205">
        <v>538711.2</v>
      </c>
      <c r="G64" s="205">
        <v>538711.2</v>
      </c>
    </row>
    <row r="65" spans="1:7" ht="159.75" customHeight="1">
      <c r="A65" s="454"/>
      <c r="B65" s="211" t="s">
        <v>753</v>
      </c>
      <c r="C65" s="205">
        <f>524.1-524.1</f>
        <v>0</v>
      </c>
      <c r="D65" s="205">
        <f>524.1-524.1</f>
        <v>0</v>
      </c>
      <c r="E65" s="205">
        <f t="shared" si="1"/>
        <v>0</v>
      </c>
      <c r="F65" s="205">
        <f>524.1-524.1</f>
        <v>0</v>
      </c>
      <c r="G65" s="205">
        <f>524.1-524.1</f>
        <v>0</v>
      </c>
    </row>
    <row r="66" spans="1:7" ht="30.75" customHeight="1">
      <c r="A66" s="454"/>
      <c r="B66" s="204" t="s">
        <v>641</v>
      </c>
      <c r="C66" s="205">
        <f>2481.8+1048.3</f>
        <v>3530.1000000000004</v>
      </c>
      <c r="D66" s="205">
        <f>2481.8+1048.3</f>
        <v>3530.1000000000004</v>
      </c>
      <c r="E66" s="205">
        <f t="shared" si="1"/>
        <v>0</v>
      </c>
      <c r="F66" s="205">
        <f>2481.8+1048.3</f>
        <v>3530.1000000000004</v>
      </c>
      <c r="G66" s="205">
        <v>3530.1</v>
      </c>
    </row>
    <row r="67" spans="1:7" ht="38.25" customHeight="1">
      <c r="A67" s="454"/>
      <c r="B67" s="204" t="s">
        <v>642</v>
      </c>
      <c r="C67" s="205">
        <v>2750.1</v>
      </c>
      <c r="D67" s="205">
        <v>2750.1</v>
      </c>
      <c r="E67" s="205">
        <f t="shared" si="1"/>
        <v>0</v>
      </c>
      <c r="F67" s="205">
        <v>2750.1</v>
      </c>
      <c r="G67" s="205">
        <v>2750.1</v>
      </c>
    </row>
    <row r="68" spans="1:7" ht="20.25" customHeight="1">
      <c r="A68" s="454"/>
      <c r="B68" s="204" t="s">
        <v>643</v>
      </c>
      <c r="C68" s="175">
        <f>746.3+22.6+0.1</f>
        <v>769</v>
      </c>
      <c r="D68" s="175">
        <f>746.3+22.6+0.1</f>
        <v>769</v>
      </c>
      <c r="E68" s="205">
        <f t="shared" si="1"/>
        <v>0</v>
      </c>
      <c r="F68" s="175">
        <f>746.3+22.6+0.1</f>
        <v>769</v>
      </c>
      <c r="G68" s="175">
        <f>746.3+22.6</f>
        <v>768.9</v>
      </c>
    </row>
    <row r="69" spans="1:7" ht="18.75" customHeight="1">
      <c r="A69" s="454"/>
      <c r="B69" s="204" t="s">
        <v>644</v>
      </c>
      <c r="C69" s="205">
        <v>353</v>
      </c>
      <c r="D69" s="205">
        <v>353</v>
      </c>
      <c r="E69" s="205">
        <f t="shared" si="1"/>
        <v>0</v>
      </c>
      <c r="F69" s="205">
        <v>353</v>
      </c>
      <c r="G69" s="205">
        <v>353</v>
      </c>
    </row>
    <row r="70" spans="1:7" ht="38.25" customHeight="1">
      <c r="A70" s="454"/>
      <c r="B70" s="204" t="s">
        <v>645</v>
      </c>
      <c r="C70" s="205">
        <v>2932.9</v>
      </c>
      <c r="D70" s="205">
        <v>2932.9</v>
      </c>
      <c r="E70" s="205">
        <f t="shared" si="1"/>
        <v>0</v>
      </c>
      <c r="F70" s="205">
        <v>2932.9</v>
      </c>
      <c r="G70" s="205">
        <v>2932.9</v>
      </c>
    </row>
    <row r="71" spans="1:7" ht="129.75" customHeight="1">
      <c r="A71" s="454"/>
      <c r="B71" s="211" t="s">
        <v>754</v>
      </c>
      <c r="C71" s="205">
        <f>2080+504-414.1</f>
        <v>2169.9</v>
      </c>
      <c r="D71" s="205">
        <f>2080+504-414.1</f>
        <v>2169.9</v>
      </c>
      <c r="E71" s="205">
        <f t="shared" si="1"/>
        <v>0</v>
      </c>
      <c r="F71" s="205">
        <v>2080</v>
      </c>
      <c r="G71" s="205">
        <v>2080</v>
      </c>
    </row>
    <row r="72" spans="1:7" ht="54" customHeight="1">
      <c r="A72" s="454"/>
      <c r="B72" s="210" t="s">
        <v>646</v>
      </c>
      <c r="C72" s="205">
        <v>105235.5</v>
      </c>
      <c r="D72" s="205">
        <v>105235.5</v>
      </c>
      <c r="E72" s="205">
        <f t="shared" si="1"/>
        <v>0</v>
      </c>
      <c r="F72" s="205">
        <v>108865.3</v>
      </c>
      <c r="G72" s="205">
        <v>112643.3</v>
      </c>
    </row>
    <row r="73" spans="1:7" ht="22.5" customHeight="1">
      <c r="A73" s="455"/>
      <c r="B73" s="212" t="s">
        <v>647</v>
      </c>
      <c r="C73" s="205">
        <v>606.6</v>
      </c>
      <c r="D73" s="205">
        <v>606.6</v>
      </c>
      <c r="E73" s="205">
        <f t="shared" si="1"/>
        <v>0</v>
      </c>
      <c r="F73" s="205">
        <v>606.6</v>
      </c>
      <c r="G73" s="205">
        <v>606.6</v>
      </c>
    </row>
    <row r="74" spans="1:7" ht="63.75" customHeight="1">
      <c r="A74" s="450" t="s">
        <v>1105</v>
      </c>
      <c r="B74" s="212" t="s">
        <v>14</v>
      </c>
      <c r="C74" s="205">
        <f>C75+C76</f>
        <v>57341.799999999996</v>
      </c>
      <c r="D74" s="205">
        <f>D75+D76</f>
        <v>57341.799999999996</v>
      </c>
      <c r="E74" s="205">
        <f t="shared" si="1"/>
        <v>0</v>
      </c>
      <c r="F74" s="205">
        <f>F75+F76</f>
        <v>54979.7</v>
      </c>
      <c r="G74" s="205">
        <f>G75+G76</f>
        <v>54979.7</v>
      </c>
    </row>
    <row r="75" spans="1:7" ht="40.5" customHeight="1">
      <c r="A75" s="451"/>
      <c r="B75" s="204" t="s">
        <v>648</v>
      </c>
      <c r="C75" s="205">
        <f>17804.6+668.5</f>
        <v>18473.1</v>
      </c>
      <c r="D75" s="205">
        <f>17804.6+668.5</f>
        <v>18473.1</v>
      </c>
      <c r="E75" s="205">
        <f t="shared" si="1"/>
        <v>0</v>
      </c>
      <c r="F75" s="205">
        <v>17804.6</v>
      </c>
      <c r="G75" s="205">
        <v>17804.6</v>
      </c>
    </row>
    <row r="76" spans="1:7" ht="72" customHeight="1">
      <c r="A76" s="452"/>
      <c r="B76" s="204" t="s">
        <v>649</v>
      </c>
      <c r="C76" s="205">
        <f>37175.1+1693.6</f>
        <v>38868.7</v>
      </c>
      <c r="D76" s="205">
        <f>37175.1+1693.6</f>
        <v>38868.7</v>
      </c>
      <c r="E76" s="205">
        <f t="shared" si="1"/>
        <v>0</v>
      </c>
      <c r="F76" s="205">
        <v>37175.1</v>
      </c>
      <c r="G76" s="205">
        <v>37175.1</v>
      </c>
    </row>
    <row r="77" spans="1:7" ht="351" customHeight="1">
      <c r="A77" s="203" t="s">
        <v>1106</v>
      </c>
      <c r="B77" s="226" t="s">
        <v>1016</v>
      </c>
      <c r="C77" s="205">
        <f>28882.9-28882.9+27191.1+1496.5</f>
        <v>28687.6</v>
      </c>
      <c r="D77" s="205">
        <f>28882.9-28882.9+27191.1+1496.5</f>
        <v>28687.6</v>
      </c>
      <c r="E77" s="205">
        <f t="shared" si="1"/>
        <v>0</v>
      </c>
      <c r="F77" s="205">
        <f>28920-1759.4+1556.3</f>
        <v>28716.899999999998</v>
      </c>
      <c r="G77" s="205">
        <f>27954.3-793.7+1556.3</f>
        <v>28716.899999999998</v>
      </c>
    </row>
    <row r="78" spans="1:7" ht="87.75" customHeight="1">
      <c r="A78" s="203" t="s">
        <v>1120</v>
      </c>
      <c r="B78" s="226" t="s">
        <v>15</v>
      </c>
      <c r="C78" s="205">
        <f>7.7+5.7</f>
        <v>13.4</v>
      </c>
      <c r="D78" s="205">
        <f>7.7+5.7</f>
        <v>13.4</v>
      </c>
      <c r="E78" s="205">
        <f t="shared" si="1"/>
        <v>0</v>
      </c>
      <c r="F78" s="205">
        <f>12.4+1.6</f>
        <v>14</v>
      </c>
      <c r="G78" s="205">
        <v>14.8</v>
      </c>
    </row>
    <row r="79" spans="1:7" ht="142.5" customHeight="1">
      <c r="A79" s="213" t="s">
        <v>1107</v>
      </c>
      <c r="B79" s="214" t="s">
        <v>650</v>
      </c>
      <c r="C79" s="205">
        <f>432+7304.3-725.7</f>
        <v>7010.6</v>
      </c>
      <c r="D79" s="205">
        <f>432+7304.3-725.7</f>
        <v>7010.6</v>
      </c>
      <c r="E79" s="205">
        <f t="shared" si="1"/>
        <v>0</v>
      </c>
      <c r="F79" s="205"/>
      <c r="G79" s="205"/>
    </row>
    <row r="80" spans="1:7" ht="100.5" customHeight="1">
      <c r="A80" s="207" t="s">
        <v>1121</v>
      </c>
      <c r="B80" s="227" t="s">
        <v>1014</v>
      </c>
      <c r="C80" s="205">
        <f>1294.2-1294.2</f>
        <v>0</v>
      </c>
      <c r="D80" s="205">
        <f>1294.2-1294.2</f>
        <v>0</v>
      </c>
      <c r="E80" s="205">
        <f aca="true" t="shared" si="2" ref="E80:E99">D80-C80</f>
        <v>0</v>
      </c>
      <c r="F80" s="205">
        <f>1411.9-1411.9</f>
        <v>0</v>
      </c>
      <c r="G80" s="205">
        <f>1047.5-1047.5</f>
        <v>0</v>
      </c>
    </row>
    <row r="81" spans="1:7" ht="103.5" customHeight="1">
      <c r="A81" s="203" t="s">
        <v>1108</v>
      </c>
      <c r="B81" s="74" t="s">
        <v>1015</v>
      </c>
      <c r="C81" s="205"/>
      <c r="D81" s="205"/>
      <c r="E81" s="205">
        <f t="shared" si="2"/>
        <v>0</v>
      </c>
      <c r="F81" s="205">
        <v>3040.2</v>
      </c>
      <c r="G81" s="205">
        <v>2018</v>
      </c>
    </row>
    <row r="82" spans="1:7" ht="72.75" customHeight="1">
      <c r="A82" s="203" t="s">
        <v>1109</v>
      </c>
      <c r="B82" s="204" t="s">
        <v>16</v>
      </c>
      <c r="C82" s="205">
        <f>864.3-31.5</f>
        <v>832.8</v>
      </c>
      <c r="D82" s="205">
        <f>864.3-31.5</f>
        <v>832.8</v>
      </c>
      <c r="E82" s="205">
        <f t="shared" si="2"/>
        <v>0</v>
      </c>
      <c r="F82" s="205">
        <f>816.7+48.1</f>
        <v>864.8000000000001</v>
      </c>
      <c r="G82" s="205">
        <v>890.6</v>
      </c>
    </row>
    <row r="83" spans="1:7" ht="56.25" customHeight="1">
      <c r="A83" s="203" t="s">
        <v>1110</v>
      </c>
      <c r="B83" s="204" t="s">
        <v>17</v>
      </c>
      <c r="C83" s="205">
        <f>5904-45.4+764</f>
        <v>6622.6</v>
      </c>
      <c r="D83" s="205">
        <f>5904-45.4+764+50.4</f>
        <v>6673</v>
      </c>
      <c r="E83" s="205">
        <f t="shared" si="2"/>
        <v>50.399999999999636</v>
      </c>
      <c r="F83" s="205">
        <f>4453.5+1619.7</f>
        <v>6073.2</v>
      </c>
      <c r="G83" s="205">
        <v>4669</v>
      </c>
    </row>
    <row r="84" spans="1:7" s="199" customFormat="1" ht="30" customHeight="1">
      <c r="A84" s="28" t="s">
        <v>1122</v>
      </c>
      <c r="B84" s="29" t="s">
        <v>651</v>
      </c>
      <c r="C84" s="200">
        <f>C85+C86+C89+C93</f>
        <v>163183.6</v>
      </c>
      <c r="D84" s="200">
        <f>D85+D86+D89+D93</f>
        <v>184486.1</v>
      </c>
      <c r="E84" s="200">
        <f t="shared" si="2"/>
        <v>21302.5</v>
      </c>
      <c r="F84" s="200">
        <f>F85+F86+F89+F93</f>
        <v>86837.2</v>
      </c>
      <c r="G84" s="200">
        <f>G85+G86+G89+G93</f>
        <v>125764.4</v>
      </c>
    </row>
    <row r="85" spans="1:7" s="199" customFormat="1" ht="82.5" customHeight="1">
      <c r="A85" s="215" t="s">
        <v>1111</v>
      </c>
      <c r="B85" s="216" t="s">
        <v>18</v>
      </c>
      <c r="C85" s="205">
        <f>851.7+472.6+2340.6</f>
        <v>3664.9</v>
      </c>
      <c r="D85" s="205">
        <f>851.7+472.6+2340.6</f>
        <v>3664.9</v>
      </c>
      <c r="E85" s="205">
        <f t="shared" si="2"/>
        <v>0</v>
      </c>
      <c r="F85" s="205">
        <f>851.7</f>
        <v>851.7</v>
      </c>
      <c r="G85" s="205">
        <f>851.7</f>
        <v>851.7</v>
      </c>
    </row>
    <row r="86" spans="1:7" s="199" customFormat="1" ht="39.75" customHeight="1" hidden="1">
      <c r="A86" s="463" t="s">
        <v>19</v>
      </c>
      <c r="B86" s="216" t="s">
        <v>652</v>
      </c>
      <c r="C86" s="201"/>
      <c r="D86" s="200"/>
      <c r="E86" s="205">
        <f t="shared" si="2"/>
        <v>0</v>
      </c>
      <c r="F86" s="228"/>
      <c r="G86" s="228"/>
    </row>
    <row r="87" spans="1:7" s="199" customFormat="1" ht="22.5" customHeight="1" hidden="1">
      <c r="A87" s="435"/>
      <c r="B87" s="216" t="s">
        <v>653</v>
      </c>
      <c r="C87" s="201"/>
      <c r="D87" s="200"/>
      <c r="E87" s="205">
        <f t="shared" si="2"/>
        <v>0</v>
      </c>
      <c r="F87" s="205">
        <f>F88+F89+F90</f>
        <v>1722.4</v>
      </c>
      <c r="G87" s="205">
        <f>G88+G89+G90</f>
        <v>1722.4</v>
      </c>
    </row>
    <row r="88" spans="1:7" s="199" customFormat="1" ht="31.5" customHeight="1" hidden="1">
      <c r="A88" s="435"/>
      <c r="B88" s="216" t="s">
        <v>654</v>
      </c>
      <c r="C88" s="201"/>
      <c r="D88" s="200"/>
      <c r="E88" s="205">
        <f t="shared" si="2"/>
        <v>0</v>
      </c>
      <c r="F88" s="228"/>
      <c r="G88" s="228"/>
    </row>
    <row r="89" spans="1:7" s="199" customFormat="1" ht="84.75" customHeight="1">
      <c r="A89" s="462" t="s">
        <v>1123</v>
      </c>
      <c r="B89" s="191" t="s">
        <v>20</v>
      </c>
      <c r="C89" s="205">
        <f>C90+C91+C92</f>
        <v>15602.1</v>
      </c>
      <c r="D89" s="205">
        <f>D90+D91+D92</f>
        <v>15602.1</v>
      </c>
      <c r="E89" s="205">
        <f t="shared" si="2"/>
        <v>0</v>
      </c>
      <c r="F89" s="205">
        <f>F90+F91+F92</f>
        <v>861.2</v>
      </c>
      <c r="G89" s="205">
        <f>G90+G91+G92</f>
        <v>861.2</v>
      </c>
    </row>
    <row r="90" spans="1:7" s="199" customFormat="1" ht="79.5" customHeight="1">
      <c r="A90" s="462"/>
      <c r="B90" s="191" t="s">
        <v>655</v>
      </c>
      <c r="C90" s="205">
        <v>861.2</v>
      </c>
      <c r="D90" s="205">
        <v>861.2</v>
      </c>
      <c r="E90" s="205">
        <f t="shared" si="2"/>
        <v>0</v>
      </c>
      <c r="F90" s="205">
        <v>861.2</v>
      </c>
      <c r="G90" s="205">
        <v>861.2</v>
      </c>
    </row>
    <row r="91" spans="1:7" s="199" customFormat="1" ht="43.5" customHeight="1" hidden="1">
      <c r="A91" s="462"/>
      <c r="B91" s="191" t="s">
        <v>656</v>
      </c>
      <c r="C91" s="203"/>
      <c r="D91" s="205"/>
      <c r="E91" s="205">
        <f t="shared" si="2"/>
        <v>0</v>
      </c>
      <c r="F91" s="205"/>
      <c r="G91" s="205"/>
    </row>
    <row r="92" spans="1:7" s="199" customFormat="1" ht="70.5" customHeight="1">
      <c r="A92" s="435"/>
      <c r="B92" s="191" t="s">
        <v>657</v>
      </c>
      <c r="C92" s="205">
        <f>14740.9</f>
        <v>14740.9</v>
      </c>
      <c r="D92" s="205">
        <f>14740.9</f>
        <v>14740.9</v>
      </c>
      <c r="E92" s="205">
        <f t="shared" si="2"/>
        <v>0</v>
      </c>
      <c r="F92" s="205"/>
      <c r="G92" s="205"/>
    </row>
    <row r="93" spans="1:7" ht="54" customHeight="1">
      <c r="A93" s="456" t="s">
        <v>1112</v>
      </c>
      <c r="B93" s="191" t="s">
        <v>21</v>
      </c>
      <c r="C93" s="205">
        <f>C94+C95+C96+C97+C98+C99</f>
        <v>143916.6</v>
      </c>
      <c r="D93" s="205">
        <f>D94+D95+D96+D97+D98+D99</f>
        <v>165219.1</v>
      </c>
      <c r="E93" s="205">
        <f t="shared" si="2"/>
        <v>21302.5</v>
      </c>
      <c r="F93" s="205">
        <f>F94+F95+F96+F97+F98+F99</f>
        <v>85124.3</v>
      </c>
      <c r="G93" s="205">
        <f>G94+G95+G96+G97+G98+G99</f>
        <v>124051.5</v>
      </c>
    </row>
    <row r="94" spans="1:7" ht="40.5" customHeight="1">
      <c r="A94" s="457"/>
      <c r="B94" s="191" t="s">
        <v>658</v>
      </c>
      <c r="C94" s="205">
        <f>58972.4+2826.4+21140.7+58094.4+2882.7</f>
        <v>143916.6</v>
      </c>
      <c r="D94" s="205">
        <f>58972.4+2826.4+21140.7+58094.4+2882.7+2056.7-2056.7+22.5+19700+1580</f>
        <v>165219.1</v>
      </c>
      <c r="E94" s="205">
        <f t="shared" si="2"/>
        <v>21302.5</v>
      </c>
      <c r="F94" s="205">
        <f>68482.5+16641.7+0.1</f>
        <v>85124.3</v>
      </c>
      <c r="G94" s="205">
        <f>70091.2+53960.3</f>
        <v>124051.5</v>
      </c>
    </row>
    <row r="95" spans="1:7" ht="56.25" customHeight="1" hidden="1">
      <c r="A95" s="421"/>
      <c r="B95" s="191" t="s">
        <v>659</v>
      </c>
      <c r="C95" s="205"/>
      <c r="D95" s="205"/>
      <c r="E95" s="205">
        <f t="shared" si="2"/>
        <v>0</v>
      </c>
      <c r="F95" s="225"/>
      <c r="G95" s="229"/>
    </row>
    <row r="96" spans="1:7" ht="50.25" customHeight="1" hidden="1">
      <c r="A96" s="421"/>
      <c r="B96" s="191" t="s">
        <v>660</v>
      </c>
      <c r="C96" s="205"/>
      <c r="D96" s="205"/>
      <c r="E96" s="205">
        <f t="shared" si="2"/>
        <v>0</v>
      </c>
      <c r="F96" s="230"/>
      <c r="G96" s="230"/>
    </row>
    <row r="97" spans="1:7" ht="44.25" customHeight="1" hidden="1">
      <c r="A97" s="421"/>
      <c r="B97" s="191" t="s">
        <v>661</v>
      </c>
      <c r="C97" s="205"/>
      <c r="D97" s="205"/>
      <c r="E97" s="205">
        <f t="shared" si="2"/>
        <v>0</v>
      </c>
      <c r="F97" s="230"/>
      <c r="G97" s="230"/>
    </row>
    <row r="98" spans="1:7" ht="42.75" customHeight="1" hidden="1">
      <c r="A98" s="421"/>
      <c r="B98" s="191" t="s">
        <v>656</v>
      </c>
      <c r="C98" s="205"/>
      <c r="D98" s="205"/>
      <c r="E98" s="205">
        <f t="shared" si="2"/>
        <v>0</v>
      </c>
      <c r="F98" s="230"/>
      <c r="G98" s="230"/>
    </row>
    <row r="99" spans="1:7" ht="31.5" customHeight="1" hidden="1">
      <c r="A99" s="421"/>
      <c r="B99" s="191" t="s">
        <v>866</v>
      </c>
      <c r="C99" s="205"/>
      <c r="D99" s="205"/>
      <c r="E99" s="205">
        <f t="shared" si="2"/>
        <v>0</v>
      </c>
      <c r="F99" s="230"/>
      <c r="G99" s="230"/>
    </row>
    <row r="100" spans="1:7" s="199" customFormat="1" ht="24.75" customHeight="1" hidden="1">
      <c r="A100" s="153" t="s">
        <v>662</v>
      </c>
      <c r="B100" s="29" t="s">
        <v>663</v>
      </c>
      <c r="C100" s="200">
        <f>C101</f>
        <v>0</v>
      </c>
      <c r="D100" s="200"/>
      <c r="E100" s="200"/>
      <c r="F100" s="231"/>
      <c r="G100" s="231"/>
    </row>
    <row r="101" spans="1:7" ht="27.75" customHeight="1" hidden="1">
      <c r="A101" s="129" t="s">
        <v>664</v>
      </c>
      <c r="B101" s="191" t="s">
        <v>665</v>
      </c>
      <c r="C101" s="205"/>
      <c r="D101" s="205"/>
      <c r="E101" s="205"/>
      <c r="F101" s="230"/>
      <c r="G101" s="230"/>
    </row>
    <row r="102" spans="1:5" ht="15">
      <c r="A102" s="217"/>
      <c r="B102" s="218"/>
      <c r="C102" s="219"/>
      <c r="D102" s="219"/>
      <c r="E102" s="219"/>
    </row>
    <row r="103" spans="1:5" ht="15">
      <c r="A103" s="217"/>
      <c r="B103" s="218"/>
      <c r="C103" s="219"/>
      <c r="D103" s="219"/>
      <c r="E103" s="219"/>
    </row>
    <row r="104" ht="15">
      <c r="B104" s="220"/>
    </row>
    <row r="105" ht="15">
      <c r="B105" s="220"/>
    </row>
    <row r="106" ht="15">
      <c r="B106" s="220"/>
    </row>
    <row r="107" ht="15">
      <c r="B107" s="220"/>
    </row>
  </sheetData>
  <sheetProtection/>
  <mergeCells count="10">
    <mergeCell ref="A25:A52"/>
    <mergeCell ref="A74:A76"/>
    <mergeCell ref="A54:A73"/>
    <mergeCell ref="A93:A94"/>
    <mergeCell ref="A8:E8"/>
    <mergeCell ref="A11:A12"/>
    <mergeCell ref="B11:B12"/>
    <mergeCell ref="A89:A92"/>
    <mergeCell ref="A86:A88"/>
    <mergeCell ref="D11:G11"/>
  </mergeCells>
  <printOptions/>
  <pageMargins left="0.7086614173228347" right="0" top="0.7480314960629921" bottom="0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H5" sqref="H5"/>
    </sheetView>
  </sheetViews>
  <sheetFormatPr defaultColWidth="10.140625" defaultRowHeight="15"/>
  <cols>
    <col min="1" max="1" width="5.00390625" style="59" customWidth="1"/>
    <col min="2" max="2" width="13.7109375" style="59" customWidth="1"/>
    <col min="3" max="3" width="63.7109375" style="252" customWidth="1"/>
    <col min="4" max="4" width="10.140625" style="252" hidden="1" customWidth="1"/>
    <col min="5" max="5" width="10.57421875" style="245" customWidth="1"/>
    <col min="6" max="6" width="9.00390625" style="245" hidden="1" customWidth="1"/>
    <col min="7" max="7" width="9.57421875" style="241" customWidth="1"/>
    <col min="8" max="8" width="10.57421875" style="241" customWidth="1"/>
    <col min="9" max="16384" width="10.140625" style="241" customWidth="1"/>
  </cols>
  <sheetData>
    <row r="1" spans="1:8" s="59" customFormat="1" ht="15">
      <c r="A1" s="253"/>
      <c r="B1" s="253"/>
      <c r="C1" s="254"/>
      <c r="D1" s="254"/>
      <c r="E1" s="239"/>
      <c r="F1" s="239"/>
      <c r="G1" s="239"/>
      <c r="H1" s="239" t="s">
        <v>0</v>
      </c>
    </row>
    <row r="2" spans="1:8" s="59" customFormat="1" ht="15">
      <c r="A2" s="253"/>
      <c r="B2" s="253"/>
      <c r="C2" s="254"/>
      <c r="D2" s="254"/>
      <c r="E2" s="239"/>
      <c r="F2" s="239"/>
      <c r="G2" s="239"/>
      <c r="H2" s="239" t="s">
        <v>1</v>
      </c>
    </row>
    <row r="3" spans="1:8" s="59" customFormat="1" ht="15">
      <c r="A3" s="253"/>
      <c r="B3" s="253"/>
      <c r="C3" s="254"/>
      <c r="D3" s="254"/>
      <c r="E3" s="239"/>
      <c r="F3" s="239"/>
      <c r="G3" s="239"/>
      <c r="H3" s="239" t="s">
        <v>2</v>
      </c>
    </row>
    <row r="4" spans="1:8" s="59" customFormat="1" ht="15">
      <c r="A4" s="253"/>
      <c r="B4" s="253"/>
      <c r="C4" s="254"/>
      <c r="D4" s="254"/>
      <c r="E4" s="239"/>
      <c r="F4" s="239"/>
      <c r="G4" s="239"/>
      <c r="H4" s="239" t="s">
        <v>1260</v>
      </c>
    </row>
    <row r="5" spans="1:8" s="59" customFormat="1" ht="15">
      <c r="A5" s="253"/>
      <c r="B5" s="253"/>
      <c r="C5" s="254"/>
      <c r="D5" s="254"/>
      <c r="E5" s="240"/>
      <c r="F5" s="240"/>
      <c r="G5" s="240"/>
      <c r="H5" s="240" t="s">
        <v>813</v>
      </c>
    </row>
    <row r="6" spans="1:6" s="59" customFormat="1" ht="15">
      <c r="A6" s="253"/>
      <c r="B6" s="253"/>
      <c r="C6" s="254"/>
      <c r="D6" s="254"/>
      <c r="E6" s="240"/>
      <c r="F6" s="240"/>
    </row>
    <row r="7" spans="1:6" s="59" customFormat="1" ht="15">
      <c r="A7" s="253"/>
      <c r="B7" s="253"/>
      <c r="C7" s="254"/>
      <c r="D7" s="254"/>
      <c r="E7" s="240"/>
      <c r="F7" s="240"/>
    </row>
    <row r="8" spans="1:7" ht="54" customHeight="1">
      <c r="A8" s="467" t="s">
        <v>985</v>
      </c>
      <c r="B8" s="467"/>
      <c r="C8" s="467"/>
      <c r="D8" s="467"/>
      <c r="E8" s="467"/>
      <c r="F8" s="467"/>
      <c r="G8" s="468"/>
    </row>
    <row r="9" spans="1:6" ht="16.5" customHeight="1">
      <c r="A9" s="242"/>
      <c r="B9" s="242"/>
      <c r="C9" s="243"/>
      <c r="D9" s="243"/>
      <c r="E9" s="242"/>
      <c r="F9" s="242"/>
    </row>
    <row r="10" spans="3:8" ht="15" customHeight="1">
      <c r="C10" s="244"/>
      <c r="D10" s="244"/>
      <c r="H10" s="241" t="s">
        <v>839</v>
      </c>
    </row>
    <row r="11" spans="1:8" s="257" customFormat="1" ht="45.75" customHeight="1">
      <c r="A11" s="255" t="s">
        <v>812</v>
      </c>
      <c r="B11" s="23" t="s">
        <v>23</v>
      </c>
      <c r="C11" s="23" t="s">
        <v>814</v>
      </c>
      <c r="D11" s="233" t="s">
        <v>877</v>
      </c>
      <c r="E11" s="233" t="s">
        <v>879</v>
      </c>
      <c r="F11" s="233" t="s">
        <v>810</v>
      </c>
      <c r="G11" s="256" t="s">
        <v>984</v>
      </c>
      <c r="H11" s="256" t="s">
        <v>878</v>
      </c>
    </row>
    <row r="12" spans="1:8" ht="54" customHeight="1">
      <c r="A12" s="246">
        <v>1</v>
      </c>
      <c r="B12" s="246" t="s">
        <v>815</v>
      </c>
      <c r="C12" s="247" t="s">
        <v>816</v>
      </c>
      <c r="D12" s="248">
        <v>19244.5</v>
      </c>
      <c r="E12" s="248">
        <v>19244.5</v>
      </c>
      <c r="F12" s="248">
        <f>E12-D12</f>
        <v>0</v>
      </c>
      <c r="G12" s="249">
        <v>13029.9</v>
      </c>
      <c r="H12" s="249">
        <v>12925.8</v>
      </c>
    </row>
    <row r="13" spans="1:8" ht="68.25" customHeight="1">
      <c r="A13" s="246">
        <v>2</v>
      </c>
      <c r="B13" s="246" t="s">
        <v>817</v>
      </c>
      <c r="C13" s="247" t="s">
        <v>818</v>
      </c>
      <c r="D13" s="247"/>
      <c r="E13" s="248"/>
      <c r="F13" s="248">
        <f aca="true" t="shared" si="0" ref="F13:F34">E13-D13</f>
        <v>0</v>
      </c>
      <c r="G13" s="249">
        <v>4269.6</v>
      </c>
      <c r="H13" s="249">
        <v>4291.9</v>
      </c>
    </row>
    <row r="14" spans="1:8" ht="66.75" customHeight="1">
      <c r="A14" s="246">
        <v>3</v>
      </c>
      <c r="B14" s="246" t="s">
        <v>819</v>
      </c>
      <c r="C14" s="247" t="s">
        <v>820</v>
      </c>
      <c r="D14" s="247"/>
      <c r="E14" s="248"/>
      <c r="F14" s="248">
        <f t="shared" si="0"/>
        <v>0</v>
      </c>
      <c r="G14" s="249">
        <v>2505.6</v>
      </c>
      <c r="H14" s="249">
        <v>2600.2</v>
      </c>
    </row>
    <row r="15" spans="1:8" ht="65.25" customHeight="1">
      <c r="A15" s="246">
        <v>4</v>
      </c>
      <c r="B15" s="246" t="s">
        <v>821</v>
      </c>
      <c r="C15" s="247" t="s">
        <v>822</v>
      </c>
      <c r="D15" s="247"/>
      <c r="E15" s="248"/>
      <c r="F15" s="248">
        <f t="shared" si="0"/>
        <v>0</v>
      </c>
      <c r="G15" s="249">
        <v>13295</v>
      </c>
      <c r="H15" s="249">
        <v>12839.1</v>
      </c>
    </row>
    <row r="16" spans="1:8" ht="63" customHeight="1">
      <c r="A16" s="246">
        <v>5</v>
      </c>
      <c r="B16" s="246" t="s">
        <v>823</v>
      </c>
      <c r="C16" s="247" t="s">
        <v>824</v>
      </c>
      <c r="D16" s="247"/>
      <c r="E16" s="248"/>
      <c r="F16" s="248">
        <f t="shared" si="0"/>
        <v>0</v>
      </c>
      <c r="G16" s="249">
        <v>2521</v>
      </c>
      <c r="H16" s="249">
        <v>2622</v>
      </c>
    </row>
    <row r="17" spans="1:8" ht="38.25" customHeight="1" hidden="1">
      <c r="A17" s="246"/>
      <c r="B17" s="246" t="s">
        <v>825</v>
      </c>
      <c r="C17" s="247" t="s">
        <v>792</v>
      </c>
      <c r="D17" s="247"/>
      <c r="E17" s="248"/>
      <c r="F17" s="248">
        <f t="shared" si="0"/>
        <v>0</v>
      </c>
      <c r="G17" s="249"/>
      <c r="H17" s="249"/>
    </row>
    <row r="18" spans="1:8" ht="52.5" customHeight="1" hidden="1">
      <c r="A18" s="246"/>
      <c r="B18" s="246" t="s">
        <v>848</v>
      </c>
      <c r="C18" s="247" t="s">
        <v>849</v>
      </c>
      <c r="D18" s="247"/>
      <c r="E18" s="248"/>
      <c r="F18" s="248">
        <f t="shared" si="0"/>
        <v>0</v>
      </c>
      <c r="G18" s="249"/>
      <c r="H18" s="249"/>
    </row>
    <row r="19" spans="1:8" ht="51.75" customHeight="1">
      <c r="A19" s="246">
        <v>6</v>
      </c>
      <c r="B19" s="246" t="s">
        <v>826</v>
      </c>
      <c r="C19" s="247" t="s">
        <v>698</v>
      </c>
      <c r="D19" s="248">
        <v>500</v>
      </c>
      <c r="E19" s="248">
        <v>500</v>
      </c>
      <c r="F19" s="248">
        <f t="shared" si="0"/>
        <v>0</v>
      </c>
      <c r="G19" s="249"/>
      <c r="H19" s="249"/>
    </row>
    <row r="20" spans="1:8" ht="143.25" customHeight="1">
      <c r="A20" s="246">
        <v>7</v>
      </c>
      <c r="B20" s="246" t="s">
        <v>850</v>
      </c>
      <c r="C20" s="247" t="s">
        <v>675</v>
      </c>
      <c r="D20" s="247"/>
      <c r="E20" s="248">
        <v>1580</v>
      </c>
      <c r="F20" s="248">
        <f t="shared" si="0"/>
        <v>1580</v>
      </c>
      <c r="G20" s="249"/>
      <c r="H20" s="249"/>
    </row>
    <row r="21" spans="1:8" ht="27" customHeight="1" hidden="1">
      <c r="A21" s="246"/>
      <c r="B21" s="246" t="s">
        <v>871</v>
      </c>
      <c r="C21" s="247" t="s">
        <v>682</v>
      </c>
      <c r="D21" s="247"/>
      <c r="E21" s="248"/>
      <c r="F21" s="248">
        <f t="shared" si="0"/>
        <v>0</v>
      </c>
      <c r="G21" s="249"/>
      <c r="H21" s="249"/>
    </row>
    <row r="22" spans="1:8" ht="50.25" customHeight="1">
      <c r="A22" s="246">
        <v>8</v>
      </c>
      <c r="B22" s="246" t="s">
        <v>827</v>
      </c>
      <c r="C22" s="247" t="s">
        <v>691</v>
      </c>
      <c r="D22" s="248">
        <f>4429+58094.4+2882.7-899+773</f>
        <v>65280.1</v>
      </c>
      <c r="E22" s="248">
        <f>4429+58094.4+2882.7-899+773</f>
        <v>65280.1</v>
      </c>
      <c r="F22" s="248">
        <f t="shared" si="0"/>
        <v>0</v>
      </c>
      <c r="G22" s="249">
        <f>1451+16641.7+0.1</f>
        <v>18092.8</v>
      </c>
      <c r="H22" s="249">
        <f>3252+53960.3</f>
        <v>57212.3</v>
      </c>
    </row>
    <row r="23" spans="1:8" ht="84" customHeight="1">
      <c r="A23" s="246">
        <v>9</v>
      </c>
      <c r="B23" s="246" t="s">
        <v>828</v>
      </c>
      <c r="C23" s="247" t="s">
        <v>693</v>
      </c>
      <c r="D23" s="248">
        <v>126</v>
      </c>
      <c r="E23" s="248">
        <v>126</v>
      </c>
      <c r="F23" s="248">
        <f t="shared" si="0"/>
        <v>0</v>
      </c>
      <c r="G23" s="249"/>
      <c r="H23" s="249"/>
    </row>
    <row r="24" spans="1:8" ht="37.5" customHeight="1">
      <c r="A24" s="246">
        <v>10</v>
      </c>
      <c r="B24" s="246" t="s">
        <v>829</v>
      </c>
      <c r="C24" s="247" t="s">
        <v>678</v>
      </c>
      <c r="D24" s="248">
        <f>174+2826.4+768.6</f>
        <v>3769</v>
      </c>
      <c r="E24" s="248">
        <f>174+2826.4+768.6+22.5</f>
        <v>3791.5</v>
      </c>
      <c r="F24" s="248">
        <f t="shared" si="0"/>
        <v>22.5</v>
      </c>
      <c r="G24" s="249"/>
      <c r="H24" s="249"/>
    </row>
    <row r="25" spans="1:8" ht="76.5" customHeight="1">
      <c r="A25" s="246">
        <v>11</v>
      </c>
      <c r="B25" s="246" t="s">
        <v>830</v>
      </c>
      <c r="C25" s="247" t="s">
        <v>676</v>
      </c>
      <c r="D25" s="248">
        <f>2299.1-909</f>
        <v>1390.1</v>
      </c>
      <c r="E25" s="248">
        <f>2299.1-909+19700</f>
        <v>21090.1</v>
      </c>
      <c r="F25" s="248">
        <f t="shared" si="0"/>
        <v>19700</v>
      </c>
      <c r="G25" s="249">
        <f>16042+909</f>
        <v>16951</v>
      </c>
      <c r="H25" s="249">
        <v>16548</v>
      </c>
    </row>
    <row r="26" spans="1:8" ht="81" customHeight="1">
      <c r="A26" s="246">
        <v>12</v>
      </c>
      <c r="B26" s="246" t="s">
        <v>831</v>
      </c>
      <c r="C26" s="247" t="s">
        <v>677</v>
      </c>
      <c r="D26" s="248">
        <f>14771+909-1157.7</f>
        <v>14522.3</v>
      </c>
      <c r="E26" s="248">
        <f>14771+909-1157.7</f>
        <v>14522.3</v>
      </c>
      <c r="F26" s="248">
        <f t="shared" si="0"/>
        <v>0</v>
      </c>
      <c r="G26" s="249">
        <f>909-909</f>
        <v>0</v>
      </c>
      <c r="H26" s="249"/>
    </row>
    <row r="27" spans="1:8" ht="108" customHeight="1">
      <c r="A27" s="246">
        <v>13</v>
      </c>
      <c r="B27" s="246" t="s">
        <v>832</v>
      </c>
      <c r="C27" s="247" t="s">
        <v>682</v>
      </c>
      <c r="D27" s="248">
        <v>500</v>
      </c>
      <c r="E27" s="248">
        <v>500</v>
      </c>
      <c r="F27" s="248">
        <f t="shared" si="0"/>
        <v>0</v>
      </c>
      <c r="G27" s="249">
        <v>500</v>
      </c>
      <c r="H27" s="249">
        <v>500</v>
      </c>
    </row>
    <row r="28" spans="1:8" ht="49.5" customHeight="1">
      <c r="A28" s="246">
        <v>14</v>
      </c>
      <c r="B28" s="246" t="s">
        <v>855</v>
      </c>
      <c r="C28" s="247" t="s">
        <v>854</v>
      </c>
      <c r="D28" s="248">
        <f>1826+21140.7+389.1</f>
        <v>23355.8</v>
      </c>
      <c r="E28" s="248">
        <f>1826+21140.7+389.1</f>
        <v>23355.8</v>
      </c>
      <c r="F28" s="248">
        <f t="shared" si="0"/>
        <v>0</v>
      </c>
      <c r="G28" s="249"/>
      <c r="H28" s="249"/>
    </row>
    <row r="29" spans="1:8" ht="69" customHeight="1">
      <c r="A29" s="246">
        <v>15</v>
      </c>
      <c r="B29" s="246" t="s">
        <v>833</v>
      </c>
      <c r="C29" s="247" t="s">
        <v>795</v>
      </c>
      <c r="D29" s="248">
        <v>3572</v>
      </c>
      <c r="E29" s="248">
        <v>3572</v>
      </c>
      <c r="F29" s="248">
        <f t="shared" si="0"/>
        <v>0</v>
      </c>
      <c r="G29" s="249">
        <v>3714.9</v>
      </c>
      <c r="H29" s="249">
        <v>3863.5</v>
      </c>
    </row>
    <row r="30" spans="1:8" ht="67.5" customHeight="1">
      <c r="A30" s="246">
        <v>16</v>
      </c>
      <c r="B30" s="246" t="s">
        <v>834</v>
      </c>
      <c r="C30" s="247" t="s">
        <v>795</v>
      </c>
      <c r="D30" s="248">
        <v>8133.9</v>
      </c>
      <c r="E30" s="248">
        <v>8133.9</v>
      </c>
      <c r="F30" s="248">
        <f t="shared" si="0"/>
        <v>0</v>
      </c>
      <c r="G30" s="249">
        <v>8459.3</v>
      </c>
      <c r="H30" s="249">
        <v>8797.6</v>
      </c>
    </row>
    <row r="31" spans="1:8" ht="66" customHeight="1">
      <c r="A31" s="246">
        <v>17</v>
      </c>
      <c r="B31" s="246" t="s">
        <v>835</v>
      </c>
      <c r="C31" s="247" t="s">
        <v>802</v>
      </c>
      <c r="D31" s="248">
        <v>1722.9</v>
      </c>
      <c r="E31" s="248">
        <v>1722.9</v>
      </c>
      <c r="F31" s="248">
        <f t="shared" si="0"/>
        <v>0</v>
      </c>
      <c r="G31" s="249">
        <v>1785.2</v>
      </c>
      <c r="H31" s="249">
        <v>1851.1</v>
      </c>
    </row>
    <row r="32" spans="1:8" ht="36.75" customHeight="1" hidden="1">
      <c r="A32" s="246"/>
      <c r="B32" s="246" t="s">
        <v>836</v>
      </c>
      <c r="C32" s="247" t="s">
        <v>788</v>
      </c>
      <c r="D32" s="247"/>
      <c r="E32" s="248"/>
      <c r="F32" s="248">
        <f t="shared" si="0"/>
        <v>0</v>
      </c>
      <c r="G32" s="249"/>
      <c r="H32" s="249"/>
    </row>
    <row r="33" spans="1:8" ht="73.5" customHeight="1">
      <c r="A33" s="246">
        <v>18</v>
      </c>
      <c r="B33" s="246" t="s">
        <v>847</v>
      </c>
      <c r="C33" s="247" t="s">
        <v>685</v>
      </c>
      <c r="D33" s="248">
        <v>1800</v>
      </c>
      <c r="E33" s="248">
        <v>1800</v>
      </c>
      <c r="F33" s="248">
        <f t="shared" si="0"/>
        <v>0</v>
      </c>
      <c r="G33" s="249"/>
      <c r="H33" s="249"/>
    </row>
    <row r="34" spans="1:8" s="251" customFormat="1" ht="20.25" customHeight="1">
      <c r="A34" s="466" t="s">
        <v>837</v>
      </c>
      <c r="B34" s="466"/>
      <c r="C34" s="466"/>
      <c r="D34" s="250">
        <f>SUM(D12:D33)</f>
        <v>143916.6</v>
      </c>
      <c r="E34" s="250">
        <f>SUM(E12:E33)</f>
        <v>165219.1</v>
      </c>
      <c r="F34" s="336">
        <f t="shared" si="0"/>
        <v>21302.5</v>
      </c>
      <c r="G34" s="250">
        <f>SUM(G12:G33)</f>
        <v>85124.29999999999</v>
      </c>
      <c r="H34" s="250">
        <f>SUM(H12:H33)</f>
        <v>124051.50000000001</v>
      </c>
    </row>
  </sheetData>
  <sheetProtection/>
  <mergeCells count="2">
    <mergeCell ref="A34:C34"/>
    <mergeCell ref="A8:G8"/>
  </mergeCells>
  <printOptions/>
  <pageMargins left="0.7086614173228347" right="0" top="0.7480314960629921" bottom="0.1968503937007874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H5" sqref="H5"/>
    </sheetView>
  </sheetViews>
  <sheetFormatPr defaultColWidth="15.00390625" defaultRowHeight="15" outlineLevelCol="1"/>
  <cols>
    <col min="1" max="1" width="73.7109375" style="26" customWidth="1"/>
    <col min="2" max="2" width="8.00390625" style="26" customWidth="1"/>
    <col min="3" max="3" width="8.7109375" style="26" customWidth="1"/>
    <col min="4" max="4" width="13.28125" style="168" hidden="1" customWidth="1" outlineLevel="1"/>
    <col min="5" max="5" width="12.57421875" style="26" customWidth="1" collapsed="1"/>
    <col min="6" max="6" width="10.7109375" style="26" hidden="1" customWidth="1" outlineLevel="1"/>
    <col min="7" max="7" width="12.140625" style="26" customWidth="1" collapsed="1"/>
    <col min="8" max="8" width="12.140625" style="26" customWidth="1"/>
    <col min="9" max="229" width="10.00390625" style="26" customWidth="1"/>
    <col min="230" max="230" width="70.421875" style="26" customWidth="1"/>
    <col min="231" max="16384" width="15.00390625" style="26" customWidth="1"/>
  </cols>
  <sheetData>
    <row r="1" spans="1:8" ht="15">
      <c r="A1" s="188"/>
      <c r="B1" s="469"/>
      <c r="C1" s="469"/>
      <c r="D1" s="188"/>
      <c r="E1" s="469"/>
      <c r="F1" s="469"/>
      <c r="G1" s="188"/>
      <c r="H1" s="258" t="s">
        <v>0</v>
      </c>
    </row>
    <row r="2" spans="1:8" ht="15">
      <c r="A2" s="188"/>
      <c r="B2" s="168"/>
      <c r="C2" s="168"/>
      <c r="D2" s="188"/>
      <c r="E2" s="469"/>
      <c r="F2" s="469"/>
      <c r="G2" s="188"/>
      <c r="H2" s="259" t="s">
        <v>1</v>
      </c>
    </row>
    <row r="3" spans="1:8" ht="15">
      <c r="A3" s="469"/>
      <c r="B3" s="471"/>
      <c r="C3" s="471"/>
      <c r="D3" s="469"/>
      <c r="E3" s="471"/>
      <c r="F3" s="471"/>
      <c r="G3" s="260"/>
      <c r="H3" s="259" t="s">
        <v>2</v>
      </c>
    </row>
    <row r="4" spans="1:8" ht="15">
      <c r="A4" s="240"/>
      <c r="B4" s="168"/>
      <c r="C4" s="168"/>
      <c r="D4" s="240"/>
      <c r="E4" s="469"/>
      <c r="F4" s="469"/>
      <c r="G4" s="188"/>
      <c r="H4" s="259" t="s">
        <v>1260</v>
      </c>
    </row>
    <row r="5" spans="1:8" ht="15">
      <c r="A5" s="188"/>
      <c r="B5" s="469"/>
      <c r="C5" s="469"/>
      <c r="D5" s="188"/>
      <c r="E5" s="469"/>
      <c r="F5" s="469"/>
      <c r="G5" s="188"/>
      <c r="H5" s="258" t="s">
        <v>858</v>
      </c>
    </row>
    <row r="6" ht="15">
      <c r="D6" s="188"/>
    </row>
    <row r="8" spans="1:8" ht="39.75" customHeight="1">
      <c r="A8" s="429" t="s">
        <v>882</v>
      </c>
      <c r="B8" s="429"/>
      <c r="C8" s="429"/>
      <c r="D8" s="429"/>
      <c r="E8" s="429"/>
      <c r="F8" s="429"/>
      <c r="G8" s="429"/>
      <c r="H8" s="429"/>
    </row>
    <row r="9" spans="1:4" ht="14.25" customHeight="1">
      <c r="A9" s="170"/>
      <c r="B9" s="170"/>
      <c r="C9" s="170"/>
      <c r="D9" s="261"/>
    </row>
    <row r="10" spans="1:6" ht="14.25" customHeight="1">
      <c r="A10" s="189"/>
      <c r="B10" s="189"/>
      <c r="C10" s="189"/>
      <c r="D10" s="262"/>
      <c r="F10" s="26" t="s">
        <v>839</v>
      </c>
    </row>
    <row r="11" spans="1:8" ht="36" customHeight="1">
      <c r="A11" s="425" t="s">
        <v>39</v>
      </c>
      <c r="B11" s="425" t="s">
        <v>747</v>
      </c>
      <c r="C11" s="425"/>
      <c r="D11" s="470" t="s">
        <v>881</v>
      </c>
      <c r="E11" s="470" t="s">
        <v>879</v>
      </c>
      <c r="F11" s="473" t="s">
        <v>808</v>
      </c>
      <c r="G11" s="470" t="s">
        <v>743</v>
      </c>
      <c r="H11" s="470" t="s">
        <v>878</v>
      </c>
    </row>
    <row r="12" spans="1:8" ht="30.75" customHeight="1">
      <c r="A12" s="425"/>
      <c r="B12" s="28" t="s">
        <v>40</v>
      </c>
      <c r="C12" s="70" t="s">
        <v>41</v>
      </c>
      <c r="D12" s="434"/>
      <c r="E12" s="472"/>
      <c r="F12" s="452"/>
      <c r="G12" s="470"/>
      <c r="H12" s="470"/>
    </row>
    <row r="13" spans="1:8" ht="17.25" customHeight="1">
      <c r="A13" s="263" t="s">
        <v>42</v>
      </c>
      <c r="B13" s="164" t="s">
        <v>43</v>
      </c>
      <c r="C13" s="164"/>
      <c r="D13" s="62">
        <f>D15+D16+D18+D19+D20+D17+D14</f>
        <v>265567.2</v>
      </c>
      <c r="E13" s="62">
        <f>E15+E16+E18+E19+E20+E17+E14</f>
        <v>265617.60000000003</v>
      </c>
      <c r="F13" s="264">
        <f>E13-D13</f>
        <v>50.40000000002328</v>
      </c>
      <c r="G13" s="62">
        <f>G15+G16+G18+G19+G20+G17+G14</f>
        <v>268325</v>
      </c>
      <c r="H13" s="62">
        <f>H15+H16+H18+H19+H20+H17+H14</f>
        <v>272138.5</v>
      </c>
    </row>
    <row r="14" spans="1:8" ht="33" customHeight="1">
      <c r="A14" s="93" t="s">
        <v>44</v>
      </c>
      <c r="B14" s="164"/>
      <c r="C14" s="21" t="s">
        <v>45</v>
      </c>
      <c r="D14" s="61">
        <f>'Пр. 11'!I780</f>
        <v>3619.8</v>
      </c>
      <c r="E14" s="61">
        <f>'Пр. 11'!J780</f>
        <v>3047.3</v>
      </c>
      <c r="F14" s="265">
        <f aca="true" t="shared" si="0" ref="F14:F61">E14-D14</f>
        <v>-572.5</v>
      </c>
      <c r="G14" s="61">
        <f>'Пр. 11'!L780</f>
        <v>3988.2</v>
      </c>
      <c r="H14" s="61">
        <f>'Пр. 11'!M780</f>
        <v>4147.7</v>
      </c>
    </row>
    <row r="15" spans="1:8" ht="35.25" customHeight="1">
      <c r="A15" s="93" t="s">
        <v>46</v>
      </c>
      <c r="B15" s="21"/>
      <c r="C15" s="21" t="s">
        <v>47</v>
      </c>
      <c r="D15" s="61">
        <f>'Пр. 11'!I785</f>
        <v>5053.099999999999</v>
      </c>
      <c r="E15" s="61">
        <f>'Пр. 11'!J785</f>
        <v>5625.599999999999</v>
      </c>
      <c r="F15" s="265">
        <f t="shared" si="0"/>
        <v>572.5</v>
      </c>
      <c r="G15" s="61">
        <f>'Пр. 11'!L785</f>
        <v>4822.599999999999</v>
      </c>
      <c r="H15" s="61">
        <f>'Пр. 11'!M785</f>
        <v>4988.7</v>
      </c>
    </row>
    <row r="16" spans="1:8" ht="48" customHeight="1">
      <c r="A16" s="93" t="s">
        <v>48</v>
      </c>
      <c r="B16" s="21"/>
      <c r="C16" s="21" t="s">
        <v>49</v>
      </c>
      <c r="D16" s="61">
        <f>'Пр. 11'!I15+'Пр. 11'!I481</f>
        <v>112512.00000000001</v>
      </c>
      <c r="E16" s="61">
        <f>'Пр. 11'!J15+'Пр. 11'!J481</f>
        <v>112512.00000000001</v>
      </c>
      <c r="F16" s="265">
        <f t="shared" si="0"/>
        <v>0</v>
      </c>
      <c r="G16" s="61">
        <f>'Пр. 11'!L15+'Пр. 11'!L481</f>
        <v>103978.49999999999</v>
      </c>
      <c r="H16" s="61">
        <f>'Пр. 11'!M15+'Пр. 11'!M481</f>
        <v>103899.5</v>
      </c>
    </row>
    <row r="17" spans="1:8" ht="19.5" customHeight="1">
      <c r="A17" s="92" t="s">
        <v>50</v>
      </c>
      <c r="B17" s="21"/>
      <c r="C17" s="21" t="s">
        <v>51</v>
      </c>
      <c r="D17" s="61">
        <f>'Пр. 11'!I68</f>
        <v>13.4</v>
      </c>
      <c r="E17" s="61">
        <f>'Пр. 11'!J68</f>
        <v>13.4</v>
      </c>
      <c r="F17" s="265">
        <f t="shared" si="0"/>
        <v>0</v>
      </c>
      <c r="G17" s="61">
        <f>'Пр. 11'!L68</f>
        <v>14</v>
      </c>
      <c r="H17" s="61">
        <f>'Пр. 11'!M68</f>
        <v>14.8</v>
      </c>
    </row>
    <row r="18" spans="1:8" ht="34.5" customHeight="1">
      <c r="A18" s="74" t="s">
        <v>52</v>
      </c>
      <c r="B18" s="164"/>
      <c r="C18" s="21" t="s">
        <v>53</v>
      </c>
      <c r="D18" s="61">
        <f>'Пр. 11'!I1167+'Пр. 11'!I489</f>
        <v>31763.100000000002</v>
      </c>
      <c r="E18" s="61">
        <f>'Пр. 11'!J1167+'Пр. 11'!J489</f>
        <v>31763.100000000002</v>
      </c>
      <c r="F18" s="265">
        <f t="shared" si="0"/>
        <v>0</v>
      </c>
      <c r="G18" s="61">
        <f>'Пр. 11'!L1167+'Пр. 11'!L489</f>
        <v>29224.500000000007</v>
      </c>
      <c r="H18" s="61">
        <f>'Пр. 11'!M1167+'Пр. 11'!M489</f>
        <v>30612.800000000003</v>
      </c>
    </row>
    <row r="19" spans="1:8" ht="16.5" customHeight="1">
      <c r="A19" s="92" t="s">
        <v>54</v>
      </c>
      <c r="B19" s="21"/>
      <c r="C19" s="21" t="s">
        <v>55</v>
      </c>
      <c r="D19" s="61">
        <f>'Пр. 11'!I520</f>
        <v>8347.500000000002</v>
      </c>
      <c r="E19" s="61">
        <f>'Пр. 11'!J520</f>
        <v>8347.500000000002</v>
      </c>
      <c r="F19" s="265">
        <f t="shared" si="0"/>
        <v>0</v>
      </c>
      <c r="G19" s="61">
        <f>'Пр. 11'!L520</f>
        <v>25000</v>
      </c>
      <c r="H19" s="61">
        <f>'Пр. 11'!M520</f>
        <v>25000</v>
      </c>
    </row>
    <row r="20" spans="1:8" ht="18" customHeight="1">
      <c r="A20" s="73" t="s">
        <v>56</v>
      </c>
      <c r="B20" s="21"/>
      <c r="C20" s="21" t="s">
        <v>57</v>
      </c>
      <c r="D20" s="61">
        <f>'Пр. 11'!I74+'Пр. 11'!I526+'Пр. 11'!I694+'Пр. 11'!I743+'Пр. 11'!I800+'Пр. 11'!I821+'Пр. 11'!I861+'Пр. 11'!I1188</f>
        <v>104258.3</v>
      </c>
      <c r="E20" s="61">
        <f>'Пр. 11'!J74+'Пр. 11'!J526+'Пр. 11'!J694+'Пр. 11'!J743+'Пр. 11'!J800+'Пр. 11'!J821+'Пр. 11'!J861+'Пр. 11'!J1188</f>
        <v>104308.70000000001</v>
      </c>
      <c r="F20" s="265">
        <f t="shared" si="0"/>
        <v>50.40000000000873</v>
      </c>
      <c r="G20" s="61">
        <f>'Пр. 11'!L74+'Пр. 11'!L526+'Пр. 11'!L694+'Пр. 11'!L743+'Пр. 11'!L800+'Пр. 11'!L821+'Пр. 11'!L861+'Пр. 11'!L1188</f>
        <v>101297.2</v>
      </c>
      <c r="H20" s="61">
        <f>'Пр. 11'!M74+'Пр. 11'!M526+'Пр. 11'!M694+'Пр. 11'!M743+'Пр. 11'!M800+'Пр. 11'!M821+'Пр. 11'!M861+'Пр. 11'!M1188</f>
        <v>103475</v>
      </c>
    </row>
    <row r="21" spans="1:8" ht="18" customHeight="1">
      <c r="A21" s="173" t="s">
        <v>58</v>
      </c>
      <c r="B21" s="164" t="s">
        <v>59</v>
      </c>
      <c r="C21" s="164"/>
      <c r="D21" s="62">
        <f>D22</f>
        <v>1438.4</v>
      </c>
      <c r="E21" s="62">
        <f>E22</f>
        <v>1438.4</v>
      </c>
      <c r="F21" s="264">
        <f t="shared" si="0"/>
        <v>0</v>
      </c>
      <c r="G21" s="62">
        <f>G22</f>
        <v>1489.3</v>
      </c>
      <c r="H21" s="62">
        <f>H22</f>
        <v>1514.8</v>
      </c>
    </row>
    <row r="22" spans="1:8" ht="30" customHeight="1">
      <c r="A22" s="74" t="s">
        <v>60</v>
      </c>
      <c r="B22" s="73"/>
      <c r="C22" s="21" t="s">
        <v>61</v>
      </c>
      <c r="D22" s="61">
        <f>'Пр. 11'!I138+'Пр. 11'!I542</f>
        <v>1438.4</v>
      </c>
      <c r="E22" s="61">
        <f>'Пр. 11'!J138+'Пр. 11'!J542</f>
        <v>1438.4</v>
      </c>
      <c r="F22" s="265">
        <f t="shared" si="0"/>
        <v>0</v>
      </c>
      <c r="G22" s="61">
        <f>'Пр. 11'!L138+'Пр. 11'!L542</f>
        <v>1489.3</v>
      </c>
      <c r="H22" s="61">
        <f>'Пр. 11'!M138+'Пр. 11'!M542</f>
        <v>1514.8</v>
      </c>
    </row>
    <row r="23" spans="1:8" ht="15" customHeight="1">
      <c r="A23" s="91" t="s">
        <v>62</v>
      </c>
      <c r="B23" s="164" t="s">
        <v>63</v>
      </c>
      <c r="C23" s="164"/>
      <c r="D23" s="62">
        <f>D24+D28+D25+D26+D27</f>
        <v>247317.80000000002</v>
      </c>
      <c r="E23" s="62">
        <f>E24+E28+E25+E26+E27</f>
        <v>272406.2</v>
      </c>
      <c r="F23" s="264">
        <f t="shared" si="0"/>
        <v>25088.399999999994</v>
      </c>
      <c r="G23" s="62">
        <f>G24+G28+G25+G26+G27</f>
        <v>38893.5</v>
      </c>
      <c r="H23" s="62">
        <f>H24+H28+H25+H26+H27</f>
        <v>44369.8</v>
      </c>
    </row>
    <row r="24" spans="1:8" ht="15" customHeight="1">
      <c r="A24" s="73" t="s">
        <v>64</v>
      </c>
      <c r="B24" s="21"/>
      <c r="C24" s="21" t="s">
        <v>65</v>
      </c>
      <c r="D24" s="61">
        <f>'Пр. 11'!I166</f>
        <v>11851.6</v>
      </c>
      <c r="E24" s="61">
        <f>'Пр. 11'!J166</f>
        <v>11851.6</v>
      </c>
      <c r="F24" s="265">
        <f t="shared" si="0"/>
        <v>0</v>
      </c>
      <c r="G24" s="61">
        <f>'Пр. 11'!L166</f>
        <v>7481.799999999999</v>
      </c>
      <c r="H24" s="61">
        <f>'Пр. 11'!M166</f>
        <v>10988</v>
      </c>
    </row>
    <row r="25" spans="1:8" ht="14.25" customHeight="1">
      <c r="A25" s="73" t="s">
        <v>66</v>
      </c>
      <c r="B25" s="21"/>
      <c r="C25" s="21" t="s">
        <v>67</v>
      </c>
      <c r="D25" s="61">
        <f>'Пр. 11'!I189</f>
        <v>14000</v>
      </c>
      <c r="E25" s="61">
        <f>'Пр. 11'!J189</f>
        <v>14000</v>
      </c>
      <c r="F25" s="265">
        <f t="shared" si="0"/>
        <v>0</v>
      </c>
      <c r="G25" s="61">
        <f>'Пр. 11'!L189</f>
        <v>67.2</v>
      </c>
      <c r="H25" s="61">
        <f>'Пр. 11'!M189</f>
        <v>4874</v>
      </c>
    </row>
    <row r="26" spans="1:8" ht="19.5" customHeight="1">
      <c r="A26" s="73" t="s">
        <v>68</v>
      </c>
      <c r="B26" s="21"/>
      <c r="C26" s="21" t="s">
        <v>69</v>
      </c>
      <c r="D26" s="61">
        <f>'Пр. 11'!I206+'Пр. 11'!I557+'Пр. 11'!I724+'Пр. 11'!I879</f>
        <v>208822.90000000002</v>
      </c>
      <c r="E26" s="61">
        <f>'Пр. 11'!J206+'Пр. 11'!J557+'Пр. 11'!J724+'Пр. 11'!J879</f>
        <v>228545.40000000002</v>
      </c>
      <c r="F26" s="265">
        <f t="shared" si="0"/>
        <v>19722.5</v>
      </c>
      <c r="G26" s="61">
        <f>'Пр. 11'!L206+'Пр. 11'!L557+'Пр. 11'!L724+'Пр. 11'!L879</f>
        <v>21273.5</v>
      </c>
      <c r="H26" s="61">
        <f>'Пр. 11'!M206+'Пр. 11'!M557+'Пр. 11'!M724+'Пр. 11'!M879</f>
        <v>21604</v>
      </c>
    </row>
    <row r="27" spans="1:8" ht="15.75" customHeight="1" hidden="1">
      <c r="A27" s="73" t="s">
        <v>70</v>
      </c>
      <c r="B27" s="21"/>
      <c r="C27" s="21" t="s">
        <v>71</v>
      </c>
      <c r="D27" s="61"/>
      <c r="E27" s="61"/>
      <c r="F27" s="265">
        <f t="shared" si="0"/>
        <v>0</v>
      </c>
      <c r="G27" s="61"/>
      <c r="H27" s="61"/>
    </row>
    <row r="28" spans="1:8" ht="16.5" customHeight="1">
      <c r="A28" s="73" t="s">
        <v>72</v>
      </c>
      <c r="B28" s="21"/>
      <c r="C28" s="21" t="s">
        <v>73</v>
      </c>
      <c r="D28" s="61">
        <f>'Пр. 11'!I214+'Пр. 11'!I565+'Пр. 11'!I730+'Пр. 11'!I916</f>
        <v>12643.3</v>
      </c>
      <c r="E28" s="61">
        <f>'Пр. 11'!J214+'Пр. 11'!J565+'Пр. 11'!J730+'Пр. 11'!J916</f>
        <v>18009.2</v>
      </c>
      <c r="F28" s="265">
        <f t="shared" si="0"/>
        <v>5365.9000000000015</v>
      </c>
      <c r="G28" s="61">
        <f>'Пр. 11'!L214+'Пр. 11'!L565+'Пр. 11'!L730+'Пр. 11'!L916</f>
        <v>10071</v>
      </c>
      <c r="H28" s="61">
        <f>'Пр. 11'!M214+'Пр. 11'!M565+'Пр. 11'!M730+'Пр. 11'!M916</f>
        <v>6903.799999999999</v>
      </c>
    </row>
    <row r="29" spans="1:8" ht="15.75" customHeight="1">
      <c r="A29" s="91" t="s">
        <v>74</v>
      </c>
      <c r="B29" s="164" t="s">
        <v>75</v>
      </c>
      <c r="C29" s="164"/>
      <c r="D29" s="62">
        <f>D31+D30+D33+D32</f>
        <v>95077</v>
      </c>
      <c r="E29" s="62">
        <f>E31+E30+E33+E32</f>
        <v>95445.70000000001</v>
      </c>
      <c r="F29" s="264">
        <f t="shared" si="0"/>
        <v>368.70000000001164</v>
      </c>
      <c r="G29" s="62">
        <f>G31+G30+G33+G32</f>
        <v>21007</v>
      </c>
      <c r="H29" s="62">
        <f>H31+H30+H33+H32</f>
        <v>60154.8</v>
      </c>
    </row>
    <row r="30" spans="1:8" ht="18" customHeight="1">
      <c r="A30" s="73" t="s">
        <v>76</v>
      </c>
      <c r="B30" s="21"/>
      <c r="C30" s="21" t="s">
        <v>77</v>
      </c>
      <c r="D30" s="61">
        <f>'Пр. 11'!I263+'Пр. 11'!I572</f>
        <v>1560.3</v>
      </c>
      <c r="E30" s="61">
        <f>'Пр. 11'!J263+'Пр. 11'!J572</f>
        <v>1560.3</v>
      </c>
      <c r="F30" s="265">
        <f t="shared" si="0"/>
        <v>0</v>
      </c>
      <c r="G30" s="61">
        <f>'Пр. 11'!L263+'Пр. 11'!L572</f>
        <v>531.6999999999999</v>
      </c>
      <c r="H30" s="61">
        <f>'Пр. 11'!M263+'Пр. 11'!M572</f>
        <v>560</v>
      </c>
    </row>
    <row r="31" spans="1:8" ht="18" customHeight="1">
      <c r="A31" s="73" t="s">
        <v>78</v>
      </c>
      <c r="B31" s="21"/>
      <c r="C31" s="21" t="s">
        <v>79</v>
      </c>
      <c r="D31" s="61">
        <f>'Пр. 11'!I271+'Пр. 11'!I583+'Пр. 11'!I923</f>
        <v>70426.1</v>
      </c>
      <c r="E31" s="61">
        <f>'Пр. 11'!J271+'Пр. 11'!J583+'Пр. 11'!J923</f>
        <v>70794.8</v>
      </c>
      <c r="F31" s="265">
        <f t="shared" si="0"/>
        <v>368.6999999999971</v>
      </c>
      <c r="G31" s="61">
        <f>'Пр. 11'!L271+'Пр. 11'!L583+'Пр. 11'!L923</f>
        <v>18092.8</v>
      </c>
      <c r="H31" s="61">
        <f>'Пр. 11'!M271+'Пр. 11'!M583+'Пр. 11'!M923</f>
        <v>57212.3</v>
      </c>
    </row>
    <row r="32" spans="1:8" ht="18" customHeight="1">
      <c r="A32" s="73" t="s">
        <v>80</v>
      </c>
      <c r="B32" s="21"/>
      <c r="C32" s="21" t="s">
        <v>81</v>
      </c>
      <c r="D32" s="61">
        <f>'Пр. 11'!I279+'Пр. 11'!I609+'Пр. 11'!I940</f>
        <v>20708.1</v>
      </c>
      <c r="E32" s="61">
        <f>'Пр. 11'!J279+'Пр. 11'!J609+'Пр. 11'!J940</f>
        <v>20708.1</v>
      </c>
      <c r="F32" s="265">
        <f t="shared" si="0"/>
        <v>0</v>
      </c>
      <c r="G32" s="61">
        <f>'Пр. 11'!L279+'Пр. 11'!L609+'Пр. 11'!L940</f>
        <v>0</v>
      </c>
      <c r="H32" s="61">
        <f>'Пр. 11'!M279+'Пр. 11'!M609+'Пр. 11'!M940</f>
        <v>0</v>
      </c>
    </row>
    <row r="33" spans="1:8" ht="18" customHeight="1">
      <c r="A33" s="73" t="s">
        <v>82</v>
      </c>
      <c r="B33" s="21"/>
      <c r="C33" s="21" t="s">
        <v>83</v>
      </c>
      <c r="D33" s="61">
        <f>'Пр. 11'!I285</f>
        <v>2382.5</v>
      </c>
      <c r="E33" s="61">
        <f>'Пр. 11'!J285</f>
        <v>2382.5</v>
      </c>
      <c r="F33" s="265">
        <f t="shared" si="0"/>
        <v>0</v>
      </c>
      <c r="G33" s="61">
        <f>'Пр. 11'!L285</f>
        <v>2382.5</v>
      </c>
      <c r="H33" s="61">
        <f>'Пр. 11'!M285</f>
        <v>2382.5</v>
      </c>
    </row>
    <row r="34" spans="1:8" ht="15.75" customHeight="1">
      <c r="A34" s="91" t="s">
        <v>84</v>
      </c>
      <c r="B34" s="164" t="s">
        <v>85</v>
      </c>
      <c r="C34" s="164"/>
      <c r="D34" s="62">
        <f>D35</f>
        <v>297</v>
      </c>
      <c r="E34" s="62">
        <f>E35</f>
        <v>297</v>
      </c>
      <c r="F34" s="264">
        <f t="shared" si="0"/>
        <v>0</v>
      </c>
      <c r="G34" s="62">
        <f>G35</f>
        <v>304</v>
      </c>
      <c r="H34" s="62">
        <f>H35</f>
        <v>305</v>
      </c>
    </row>
    <row r="35" spans="1:8" ht="15.75" customHeight="1">
      <c r="A35" s="73" t="s">
        <v>86</v>
      </c>
      <c r="B35" s="21"/>
      <c r="C35" s="21" t="s">
        <v>87</v>
      </c>
      <c r="D35" s="61">
        <f>'Пр. 11'!I957</f>
        <v>297</v>
      </c>
      <c r="E35" s="61">
        <f>'Пр. 11'!J957</f>
        <v>297</v>
      </c>
      <c r="F35" s="264">
        <f t="shared" si="0"/>
        <v>0</v>
      </c>
      <c r="G35" s="61">
        <f>'Пр. 11'!L957</f>
        <v>304</v>
      </c>
      <c r="H35" s="61">
        <f>'Пр. 11'!M957</f>
        <v>305</v>
      </c>
    </row>
    <row r="36" spans="1:8" ht="15" customHeight="1">
      <c r="A36" s="263" t="s">
        <v>88</v>
      </c>
      <c r="B36" s="164" t="s">
        <v>89</v>
      </c>
      <c r="C36" s="164"/>
      <c r="D36" s="62">
        <f>D37+D38+D42+D41+D40+D39</f>
        <v>1757856.6999999997</v>
      </c>
      <c r="E36" s="62">
        <f>E37+E38+E42+E41+E40+E39</f>
        <v>1775815.2999999998</v>
      </c>
      <c r="F36" s="264">
        <f t="shared" si="0"/>
        <v>17958.600000000093</v>
      </c>
      <c r="G36" s="62">
        <f>G37+G38+G42+G41+G40+G39</f>
        <v>1890496</v>
      </c>
      <c r="H36" s="62">
        <f>H37+H38+H42+H41+H40+H39</f>
        <v>2157260.3</v>
      </c>
    </row>
    <row r="37" spans="1:8" ht="15" customHeight="1">
      <c r="A37" s="92" t="s">
        <v>90</v>
      </c>
      <c r="B37" s="21"/>
      <c r="C37" s="21" t="s">
        <v>91</v>
      </c>
      <c r="D37" s="61">
        <f>'Пр. 11'!I964</f>
        <v>686594.4</v>
      </c>
      <c r="E37" s="61">
        <f>'Пр. 11'!J964</f>
        <v>691868.5</v>
      </c>
      <c r="F37" s="265">
        <f t="shared" si="0"/>
        <v>5274.099999999977</v>
      </c>
      <c r="G37" s="61">
        <f>'Пр. 11'!L964</f>
        <v>635381.2</v>
      </c>
      <c r="H37" s="61">
        <f>'Пр. 11'!M964</f>
        <v>639395.2</v>
      </c>
    </row>
    <row r="38" spans="1:8" ht="15.75" customHeight="1">
      <c r="A38" s="92" t="s">
        <v>92</v>
      </c>
      <c r="B38" s="21"/>
      <c r="C38" s="21" t="s">
        <v>93</v>
      </c>
      <c r="D38" s="61">
        <f>'Пр. 11'!I998</f>
        <v>766564.5</v>
      </c>
      <c r="E38" s="61">
        <f>'Пр. 11'!J998</f>
        <v>775914.8</v>
      </c>
      <c r="F38" s="265">
        <f t="shared" si="0"/>
        <v>9350.300000000047</v>
      </c>
      <c r="G38" s="61">
        <f>'Пр. 11'!L998</f>
        <v>962058.2999999999</v>
      </c>
      <c r="H38" s="61">
        <f>'Пр. 11'!M998</f>
        <v>1224250.4</v>
      </c>
    </row>
    <row r="39" spans="1:8" ht="15.75" customHeight="1">
      <c r="A39" s="22" t="s">
        <v>94</v>
      </c>
      <c r="B39" s="21"/>
      <c r="C39" s="21" t="s">
        <v>95</v>
      </c>
      <c r="D39" s="61">
        <f>'Пр. 11'!I1052+'Пр. 11'!I292</f>
        <v>263044.9</v>
      </c>
      <c r="E39" s="61">
        <f>'Пр. 11'!J1052+'Пр. 11'!J292</f>
        <v>266379.1</v>
      </c>
      <c r="F39" s="265">
        <f t="shared" si="0"/>
        <v>3334.1999999999534</v>
      </c>
      <c r="G39" s="61">
        <f>'Пр. 11'!L1052+'Пр. 11'!L292</f>
        <v>252965.69999999998</v>
      </c>
      <c r="H39" s="61">
        <f>'Пр. 11'!M1052+'Пр. 11'!M292</f>
        <v>253708.69999999998</v>
      </c>
    </row>
    <row r="40" spans="1:8" ht="18" customHeight="1">
      <c r="A40" s="93" t="s">
        <v>96</v>
      </c>
      <c r="B40" s="21"/>
      <c r="C40" s="21" t="s">
        <v>97</v>
      </c>
      <c r="D40" s="61">
        <f>'Пр. 11'!I1077</f>
        <v>530</v>
      </c>
      <c r="E40" s="61">
        <f>'Пр. 11'!J1077</f>
        <v>530</v>
      </c>
      <c r="F40" s="265">
        <f t="shared" si="0"/>
        <v>0</v>
      </c>
      <c r="G40" s="61">
        <f>'Пр. 11'!L1077</f>
        <v>450</v>
      </c>
      <c r="H40" s="61">
        <f>'Пр. 11'!M1077</f>
        <v>450</v>
      </c>
    </row>
    <row r="41" spans="1:8" ht="16.5" customHeight="1">
      <c r="A41" s="93" t="s">
        <v>98</v>
      </c>
      <c r="B41" s="21"/>
      <c r="C41" s="21" t="s">
        <v>99</v>
      </c>
      <c r="D41" s="61">
        <f>'Пр. 11'!I332+'Пр. 11'!I1083</f>
        <v>12596.2</v>
      </c>
      <c r="E41" s="61">
        <f>'Пр. 11'!J332+'Пр. 11'!J1083</f>
        <v>12596.2</v>
      </c>
      <c r="F41" s="265">
        <f t="shared" si="0"/>
        <v>0</v>
      </c>
      <c r="G41" s="61">
        <f>'Пр. 11'!L332+'Пр. 11'!L1083</f>
        <v>11683.800000000001</v>
      </c>
      <c r="H41" s="61">
        <f>'Пр. 11'!M332+'Пр. 11'!M1083</f>
        <v>10194</v>
      </c>
    </row>
    <row r="42" spans="1:8" ht="17.25" customHeight="1">
      <c r="A42" s="92" t="s">
        <v>100</v>
      </c>
      <c r="B42" s="21"/>
      <c r="C42" s="21" t="s">
        <v>101</v>
      </c>
      <c r="D42" s="61">
        <f>'Пр. 11'!I833+'Пр. 11'!I1097</f>
        <v>28526.7</v>
      </c>
      <c r="E42" s="61">
        <f>'Пр. 11'!J833+'Пр. 11'!J1097</f>
        <v>28526.7</v>
      </c>
      <c r="F42" s="265">
        <f t="shared" si="0"/>
        <v>0</v>
      </c>
      <c r="G42" s="61">
        <f>'Пр. 11'!L833+'Пр. 11'!L1097</f>
        <v>27957</v>
      </c>
      <c r="H42" s="61">
        <f>'Пр. 11'!M833+'Пр. 11'!M1097</f>
        <v>29262</v>
      </c>
    </row>
    <row r="43" spans="1:8" ht="16.5" customHeight="1">
      <c r="A43" s="263" t="s">
        <v>102</v>
      </c>
      <c r="B43" s="164" t="s">
        <v>103</v>
      </c>
      <c r="C43" s="164"/>
      <c r="D43" s="62">
        <f>D44</f>
        <v>16203.300000000001</v>
      </c>
      <c r="E43" s="62">
        <f>E44</f>
        <v>16568.3</v>
      </c>
      <c r="F43" s="264">
        <f t="shared" si="0"/>
        <v>364.9999999999982</v>
      </c>
      <c r="G43" s="62">
        <f>G44</f>
        <v>10228</v>
      </c>
      <c r="H43" s="62">
        <f>H44</f>
        <v>10641</v>
      </c>
    </row>
    <row r="44" spans="1:8" ht="15">
      <c r="A44" s="92" t="s">
        <v>104</v>
      </c>
      <c r="B44" s="21"/>
      <c r="C44" s="21" t="s">
        <v>105</v>
      </c>
      <c r="D44" s="61">
        <f>'Пр. 11'!I361+'Пр. 11'!I635</f>
        <v>16203.300000000001</v>
      </c>
      <c r="E44" s="61">
        <f>'Пр. 11'!J361+'Пр. 11'!J635</f>
        <v>16568.3</v>
      </c>
      <c r="F44" s="264">
        <f t="shared" si="0"/>
        <v>364.9999999999982</v>
      </c>
      <c r="G44" s="61">
        <f>'Пр. 11'!L361+'Пр. 11'!L635</f>
        <v>10228</v>
      </c>
      <c r="H44" s="61">
        <f>'Пр. 11'!M361+'Пр. 11'!M635</f>
        <v>10641</v>
      </c>
    </row>
    <row r="45" spans="1:8" ht="15" customHeight="1">
      <c r="A45" s="263" t="s">
        <v>106</v>
      </c>
      <c r="B45" s="164" t="s">
        <v>107</v>
      </c>
      <c r="C45" s="164"/>
      <c r="D45" s="62">
        <f>D46+D47+D48+D49+D50</f>
        <v>189341.7</v>
      </c>
      <c r="E45" s="62">
        <f>E46+E47+E48+E49+E50</f>
        <v>189341.7</v>
      </c>
      <c r="F45" s="264">
        <f t="shared" si="0"/>
        <v>0</v>
      </c>
      <c r="G45" s="62">
        <f>G46+G47+G48+G49+G50</f>
        <v>176492.7</v>
      </c>
      <c r="H45" s="62">
        <f>H46+H47+H48+H49+H50</f>
        <v>175496.3</v>
      </c>
    </row>
    <row r="46" spans="1:8" ht="17.25" customHeight="1">
      <c r="A46" s="92" t="s">
        <v>108</v>
      </c>
      <c r="B46" s="164"/>
      <c r="C46" s="21" t="s">
        <v>109</v>
      </c>
      <c r="D46" s="61">
        <f>'Пр. 11'!I398</f>
        <v>18087.4</v>
      </c>
      <c r="E46" s="61">
        <f>'Пр. 11'!J398</f>
        <v>18087.4</v>
      </c>
      <c r="F46" s="265">
        <f t="shared" si="0"/>
        <v>0</v>
      </c>
      <c r="G46" s="61">
        <f>'Пр. 11'!L398</f>
        <v>18087.4</v>
      </c>
      <c r="H46" s="61">
        <f>'Пр. 11'!M398</f>
        <v>18087.4</v>
      </c>
    </row>
    <row r="47" spans="1:8" ht="15.75" customHeight="1">
      <c r="A47" s="92" t="s">
        <v>110</v>
      </c>
      <c r="B47" s="21"/>
      <c r="C47" s="21" t="s">
        <v>111</v>
      </c>
      <c r="D47" s="61"/>
      <c r="E47" s="61"/>
      <c r="F47" s="265">
        <f t="shared" si="0"/>
        <v>0</v>
      </c>
      <c r="G47" s="61"/>
      <c r="H47" s="61"/>
    </row>
    <row r="48" spans="1:8" ht="15.75" customHeight="1">
      <c r="A48" s="92" t="s">
        <v>112</v>
      </c>
      <c r="B48" s="21"/>
      <c r="C48" s="21" t="s">
        <v>113</v>
      </c>
      <c r="D48" s="61">
        <f>'Пр. 11'!I404+'Пр. 11'!I1142</f>
        <v>55413.7</v>
      </c>
      <c r="E48" s="61">
        <f>'Пр. 11'!J404+'Пр. 11'!J1142</f>
        <v>55413.7</v>
      </c>
      <c r="F48" s="265">
        <f t="shared" si="0"/>
        <v>0</v>
      </c>
      <c r="G48" s="61">
        <f>'Пр. 11'!L404+'Пр. 11'!L1142</f>
        <v>50960.1</v>
      </c>
      <c r="H48" s="61">
        <f>'Пр. 11'!M404+'Пр. 11'!M1142</f>
        <v>49937.899999999994</v>
      </c>
    </row>
    <row r="49" spans="1:8" ht="15" customHeight="1">
      <c r="A49" s="93" t="s">
        <v>114</v>
      </c>
      <c r="B49" s="21"/>
      <c r="C49" s="21" t="s">
        <v>115</v>
      </c>
      <c r="D49" s="61">
        <f>'Пр. 11'!I449+'Пр. 11'!I1148</f>
        <v>115840.59999999999</v>
      </c>
      <c r="E49" s="61">
        <f>'Пр. 11'!J449+'Пр. 11'!J1148</f>
        <v>115840.59999999999</v>
      </c>
      <c r="F49" s="265">
        <f t="shared" si="0"/>
        <v>0</v>
      </c>
      <c r="G49" s="61">
        <f>'Пр. 11'!L449+'Пр. 11'!L1148</f>
        <v>107445.2</v>
      </c>
      <c r="H49" s="61">
        <f>'Пр. 11'!M449+'Пр. 11'!M1148</f>
        <v>107471</v>
      </c>
    </row>
    <row r="50" spans="1:8" ht="15.75" customHeight="1">
      <c r="A50" s="92" t="s">
        <v>116</v>
      </c>
      <c r="B50" s="164"/>
      <c r="C50" s="21" t="s">
        <v>117</v>
      </c>
      <c r="D50" s="61"/>
      <c r="E50" s="61"/>
      <c r="F50" s="265">
        <f t="shared" si="0"/>
        <v>0</v>
      </c>
      <c r="G50" s="61"/>
      <c r="H50" s="61"/>
    </row>
    <row r="51" spans="1:8" ht="15" customHeight="1">
      <c r="A51" s="263" t="s">
        <v>118</v>
      </c>
      <c r="B51" s="164" t="s">
        <v>119</v>
      </c>
      <c r="C51" s="21"/>
      <c r="D51" s="62">
        <f>D52+D53</f>
        <v>11885</v>
      </c>
      <c r="E51" s="62">
        <f>E52+E53</f>
        <v>11885</v>
      </c>
      <c r="F51" s="264">
        <f t="shared" si="0"/>
        <v>0</v>
      </c>
      <c r="G51" s="62">
        <f>G52+G53</f>
        <v>17749.699999999997</v>
      </c>
      <c r="H51" s="62">
        <f>H52+H53</f>
        <v>18008.1</v>
      </c>
    </row>
    <row r="52" spans="1:8" ht="15.75" customHeight="1">
      <c r="A52" s="92" t="s">
        <v>120</v>
      </c>
      <c r="B52" s="21"/>
      <c r="C52" s="21" t="s">
        <v>121</v>
      </c>
      <c r="D52" s="61">
        <f>'Пр. 11'!I466+'Пр. 11'!I656+'Пр. 11'!I1155</f>
        <v>5885</v>
      </c>
      <c r="E52" s="61">
        <f>'Пр. 11'!J466+'Пр. 11'!J656+'Пр. 11'!J1155</f>
        <v>5885</v>
      </c>
      <c r="F52" s="265">
        <f t="shared" si="0"/>
        <v>0</v>
      </c>
      <c r="G52" s="61">
        <f>'Пр. 11'!L466+'Пр. 11'!L656+'Пр. 11'!L1155</f>
        <v>4032.3999999999996</v>
      </c>
      <c r="H52" s="61">
        <f>'Пр. 11'!M466+'Пр. 11'!M656+'Пр. 11'!M1155</f>
        <v>3714.6</v>
      </c>
    </row>
    <row r="53" spans="1:8" ht="16.5" customHeight="1">
      <c r="A53" s="92" t="s">
        <v>122</v>
      </c>
      <c r="B53" s="21"/>
      <c r="C53" s="21" t="s">
        <v>123</v>
      </c>
      <c r="D53" s="61">
        <f>'Пр. 11'!I949</f>
        <v>6000</v>
      </c>
      <c r="E53" s="61">
        <f>'Пр. 11'!J949</f>
        <v>6000</v>
      </c>
      <c r="F53" s="265">
        <f t="shared" si="0"/>
        <v>0</v>
      </c>
      <c r="G53" s="61">
        <f>'Пр. 11'!L949</f>
        <v>13717.3</v>
      </c>
      <c r="H53" s="61">
        <f>'Пр. 11'!M949</f>
        <v>14293.5</v>
      </c>
    </row>
    <row r="54" spans="1:8" ht="16.5" customHeight="1">
      <c r="A54" s="263" t="s">
        <v>124</v>
      </c>
      <c r="B54" s="164" t="s">
        <v>125</v>
      </c>
      <c r="C54" s="21"/>
      <c r="D54" s="62">
        <f>D55</f>
        <v>271.2</v>
      </c>
      <c r="E54" s="62">
        <f>E55</f>
        <v>271.2</v>
      </c>
      <c r="F54" s="264">
        <f t="shared" si="0"/>
        <v>0</v>
      </c>
      <c r="G54" s="62">
        <f>G55</f>
        <v>277.5</v>
      </c>
      <c r="H54" s="62">
        <f>H55</f>
        <v>277.5</v>
      </c>
    </row>
    <row r="55" spans="1:8" ht="18" customHeight="1">
      <c r="A55" s="93" t="s">
        <v>126</v>
      </c>
      <c r="B55" s="21"/>
      <c r="C55" s="21" t="s">
        <v>127</v>
      </c>
      <c r="D55" s="61">
        <f>'Пр. 11'!I662</f>
        <v>271.2</v>
      </c>
      <c r="E55" s="61">
        <f>'Пр. 11'!J662</f>
        <v>271.2</v>
      </c>
      <c r="F55" s="265">
        <f t="shared" si="0"/>
        <v>0</v>
      </c>
      <c r="G55" s="61">
        <f>'Пр. 11'!L662</f>
        <v>277.5</v>
      </c>
      <c r="H55" s="61">
        <f>'Пр. 11'!M662</f>
        <v>277.5</v>
      </c>
    </row>
    <row r="56" spans="1:8" ht="30" customHeight="1">
      <c r="A56" s="130" t="s">
        <v>128</v>
      </c>
      <c r="B56" s="164" t="s">
        <v>129</v>
      </c>
      <c r="C56" s="21"/>
      <c r="D56" s="62">
        <f>D57+D58</f>
        <v>161195.7</v>
      </c>
      <c r="E56" s="62">
        <f>E57+E58</f>
        <v>166195.7</v>
      </c>
      <c r="F56" s="264">
        <f t="shared" si="0"/>
        <v>5000</v>
      </c>
      <c r="G56" s="62">
        <f>G57+G58</f>
        <v>165874.9</v>
      </c>
      <c r="H56" s="62">
        <f>H57+H58</f>
        <v>169653.1</v>
      </c>
    </row>
    <row r="57" spans="1:8" ht="30.75" customHeight="1">
      <c r="A57" s="93" t="s">
        <v>130</v>
      </c>
      <c r="B57" s="164"/>
      <c r="C57" s="21" t="s">
        <v>131</v>
      </c>
      <c r="D57" s="61">
        <f>'Пр. 11'!I670</f>
        <v>150695.7</v>
      </c>
      <c r="E57" s="61">
        <f>'Пр. 11'!J670</f>
        <v>150695.7</v>
      </c>
      <c r="F57" s="265">
        <f t="shared" si="0"/>
        <v>0</v>
      </c>
      <c r="G57" s="61">
        <f>'Пр. 11'!L670</f>
        <v>155374.9</v>
      </c>
      <c r="H57" s="61">
        <f>'Пр. 11'!M670</f>
        <v>159153.1</v>
      </c>
    </row>
    <row r="58" spans="1:8" ht="17.25" customHeight="1">
      <c r="A58" s="93" t="s">
        <v>132</v>
      </c>
      <c r="B58" s="21"/>
      <c r="C58" s="21" t="s">
        <v>133</v>
      </c>
      <c r="D58" s="61">
        <f>'Пр. 11'!I678</f>
        <v>10500</v>
      </c>
      <c r="E58" s="61">
        <f>'Пр. 11'!J678</f>
        <v>15500</v>
      </c>
      <c r="F58" s="265">
        <f t="shared" si="0"/>
        <v>5000</v>
      </c>
      <c r="G58" s="61">
        <f>'Пр. 11'!L678</f>
        <v>10500</v>
      </c>
      <c r="H58" s="61">
        <f>'Пр. 11'!M678</f>
        <v>10500</v>
      </c>
    </row>
    <row r="59" spans="1:8" ht="14.25" customHeight="1">
      <c r="A59" s="263" t="s">
        <v>1102</v>
      </c>
      <c r="B59" s="263"/>
      <c r="C59" s="263"/>
      <c r="D59" s="62">
        <f>D56+D54+D51+D45+D43+D36+D29+D23+D21+D13+D34</f>
        <v>2746450.9999999995</v>
      </c>
      <c r="E59" s="62">
        <f>E56+E54+E51+E45+E43+E36+E29+E23+E21+E13+E34</f>
        <v>2795282.1</v>
      </c>
      <c r="F59" s="264">
        <f t="shared" si="0"/>
        <v>48831.10000000056</v>
      </c>
      <c r="G59" s="62">
        <f>G56+G54+G51+G45+G43+G36+G29+G23+G21+G13+G34</f>
        <v>2591137.5999999996</v>
      </c>
      <c r="H59" s="62">
        <f>H56+H54+H51+H45+H43+H36+H29+H23+H21+H13+H34</f>
        <v>2909819.1999999993</v>
      </c>
    </row>
    <row r="60" spans="1:8" ht="15" customHeight="1">
      <c r="A60" s="73" t="s">
        <v>1100</v>
      </c>
      <c r="B60" s="334"/>
      <c r="C60" s="334"/>
      <c r="D60" s="265"/>
      <c r="E60" s="265"/>
      <c r="F60" s="264"/>
      <c r="G60" s="265">
        <f>'Пр. 11'!L1195</f>
        <v>23500</v>
      </c>
      <c r="H60" s="265">
        <f>'Пр. 11'!M1195</f>
        <v>48500</v>
      </c>
    </row>
    <row r="61" spans="1:8" ht="15" customHeight="1">
      <c r="A61" s="91" t="s">
        <v>1101</v>
      </c>
      <c r="B61" s="335"/>
      <c r="C61" s="335"/>
      <c r="D61" s="333">
        <f>'Пр. 11'!I1196</f>
        <v>2746450.9999999995</v>
      </c>
      <c r="E61" s="333">
        <f>'Пр. 11'!J1196</f>
        <v>2795282.1</v>
      </c>
      <c r="F61" s="264">
        <f t="shared" si="0"/>
        <v>48831.10000000056</v>
      </c>
      <c r="G61" s="333">
        <f>'Пр. 11'!L1196</f>
        <v>2614637.5999999996</v>
      </c>
      <c r="H61" s="333">
        <f>'Пр. 11'!M1196</f>
        <v>2958319.1999999997</v>
      </c>
    </row>
  </sheetData>
  <sheetProtection/>
  <mergeCells count="16">
    <mergeCell ref="B1:C1"/>
    <mergeCell ref="A3:C3"/>
    <mergeCell ref="B5:C5"/>
    <mergeCell ref="D11:D12"/>
    <mergeCell ref="E11:E12"/>
    <mergeCell ref="F11:F12"/>
    <mergeCell ref="E1:F1"/>
    <mergeCell ref="D3:F3"/>
    <mergeCell ref="E5:F5"/>
    <mergeCell ref="E2:F2"/>
    <mergeCell ref="E4:F4"/>
    <mergeCell ref="G11:G12"/>
    <mergeCell ref="H11:H12"/>
    <mergeCell ref="A8:H8"/>
    <mergeCell ref="A11:A12"/>
    <mergeCell ref="B11:C11"/>
  </mergeCells>
  <printOptions/>
  <pageMargins left="0.5511811023622047" right="0.31496062992125984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91"/>
  <sheetViews>
    <sheetView zoomScalePageLayoutView="0" workbookViewId="0" topLeftCell="A1">
      <selection activeCell="A26" sqref="A26"/>
    </sheetView>
  </sheetViews>
  <sheetFormatPr defaultColWidth="8.8515625" defaultRowHeight="17.25" customHeight="1" outlineLevelCol="1"/>
  <cols>
    <col min="1" max="1" width="62.7109375" style="34" customWidth="1"/>
    <col min="2" max="2" width="3.57421875" style="8" customWidth="1"/>
    <col min="3" max="3" width="2.28125" style="7" customWidth="1"/>
    <col min="4" max="4" width="3.421875" style="8" customWidth="1"/>
    <col min="5" max="5" width="6.8515625" style="8" customWidth="1"/>
    <col min="6" max="6" width="3.7109375" style="7" customWidth="1"/>
    <col min="7" max="7" width="5.421875" style="7" customWidth="1"/>
    <col min="8" max="8" width="11.57421875" style="39" hidden="1" customWidth="1" outlineLevel="1"/>
    <col min="9" max="9" width="11.57421875" style="2" customWidth="1" collapsed="1"/>
    <col min="10" max="10" width="10.57421875" style="2" hidden="1" customWidth="1" outlineLevel="1"/>
    <col min="11" max="11" width="12.140625" style="2" customWidth="1" collapsed="1"/>
    <col min="12" max="12" width="11.57421875" style="2" customWidth="1"/>
    <col min="13" max="13" width="8.8515625" style="2" customWidth="1"/>
    <col min="14" max="14" width="10.28125" style="2" bestFit="1" customWidth="1"/>
    <col min="15" max="15" width="9.57421875" style="2" customWidth="1"/>
    <col min="16" max="16384" width="8.8515625" style="2" customWidth="1"/>
  </cols>
  <sheetData>
    <row r="1" spans="5:12" ht="14.25" customHeight="1">
      <c r="E1" s="36"/>
      <c r="F1" s="484"/>
      <c r="G1" s="484"/>
      <c r="H1" s="36"/>
      <c r="I1" s="60"/>
      <c r="J1" s="60"/>
      <c r="K1" s="38"/>
      <c r="L1" s="258" t="s">
        <v>0</v>
      </c>
    </row>
    <row r="2" spans="1:12" ht="14.25" customHeight="1">
      <c r="A2" s="34" t="s">
        <v>947</v>
      </c>
      <c r="E2" s="36"/>
      <c r="F2" s="39"/>
      <c r="G2" s="39"/>
      <c r="H2" s="36"/>
      <c r="I2" s="60"/>
      <c r="J2" s="96"/>
      <c r="K2" s="332"/>
      <c r="L2" s="259" t="s">
        <v>1</v>
      </c>
    </row>
    <row r="3" spans="5:12" ht="14.25" customHeight="1">
      <c r="E3" s="35"/>
      <c r="F3" s="35"/>
      <c r="G3" s="35"/>
      <c r="H3" s="35"/>
      <c r="I3" s="35"/>
      <c r="J3" s="35"/>
      <c r="K3" s="35"/>
      <c r="L3" s="259" t="s">
        <v>2</v>
      </c>
    </row>
    <row r="4" spans="5:12" ht="14.25" customHeight="1">
      <c r="E4" s="484"/>
      <c r="F4" s="485"/>
      <c r="G4" s="485"/>
      <c r="H4" s="60"/>
      <c r="I4" s="97"/>
      <c r="J4" s="97"/>
      <c r="K4" s="422"/>
      <c r="L4" s="259" t="s">
        <v>1260</v>
      </c>
    </row>
    <row r="5" spans="5:12" ht="14.25" customHeight="1">
      <c r="E5" s="36"/>
      <c r="F5" s="484"/>
      <c r="G5" s="484"/>
      <c r="H5" s="36"/>
      <c r="I5" s="60"/>
      <c r="J5" s="60"/>
      <c r="K5" s="38"/>
      <c r="L5" s="258" t="s">
        <v>857</v>
      </c>
    </row>
    <row r="6" ht="14.25" customHeight="1"/>
    <row r="7" ht="14.25" customHeight="1" hidden="1">
      <c r="L7" s="268" t="s">
        <v>0</v>
      </c>
    </row>
    <row r="8" ht="14.25" customHeight="1" hidden="1">
      <c r="L8" s="268" t="s">
        <v>1023</v>
      </c>
    </row>
    <row r="9" ht="14.25" customHeight="1" hidden="1">
      <c r="L9" s="268" t="s">
        <v>2</v>
      </c>
    </row>
    <row r="10" ht="14.25" customHeight="1" hidden="1">
      <c r="L10" s="268" t="s">
        <v>1127</v>
      </c>
    </row>
    <row r="11" ht="14.25" customHeight="1" hidden="1">
      <c r="L11" s="268" t="s">
        <v>857</v>
      </c>
    </row>
    <row r="12" ht="14.25" customHeight="1"/>
    <row r="13" ht="12.75" customHeight="1"/>
    <row r="14" spans="1:12" ht="72.75" customHeight="1">
      <c r="A14" s="486" t="s">
        <v>883</v>
      </c>
      <c r="B14" s="486"/>
      <c r="C14" s="486"/>
      <c r="D14" s="486"/>
      <c r="E14" s="486"/>
      <c r="F14" s="486"/>
      <c r="G14" s="486"/>
      <c r="H14" s="486"/>
      <c r="I14" s="486"/>
      <c r="J14" s="486"/>
      <c r="K14" s="486"/>
      <c r="L14" s="486"/>
    </row>
    <row r="15" ht="13.5" customHeight="1"/>
    <row r="16" ht="13.5" customHeight="1">
      <c r="L16" s="2" t="s">
        <v>839</v>
      </c>
    </row>
    <row r="17" spans="1:12" s="3" customFormat="1" ht="39.75" customHeight="1">
      <c r="A17" s="100" t="s">
        <v>135</v>
      </c>
      <c r="B17" s="481" t="s">
        <v>150</v>
      </c>
      <c r="C17" s="482"/>
      <c r="D17" s="482"/>
      <c r="E17" s="483"/>
      <c r="F17" s="104" t="s">
        <v>151</v>
      </c>
      <c r="G17" s="100" t="s">
        <v>152</v>
      </c>
      <c r="H17" s="37" t="s">
        <v>881</v>
      </c>
      <c r="I17" s="37" t="s">
        <v>879</v>
      </c>
      <c r="J17" s="105" t="s">
        <v>808</v>
      </c>
      <c r="K17" s="37" t="s">
        <v>743</v>
      </c>
      <c r="L17" s="37" t="s">
        <v>878</v>
      </c>
    </row>
    <row r="18" spans="1:12" s="3" customFormat="1" ht="11.25" customHeight="1">
      <c r="A18" s="100"/>
      <c r="B18" s="101"/>
      <c r="C18" s="102"/>
      <c r="D18" s="102"/>
      <c r="E18" s="103"/>
      <c r="F18" s="104"/>
      <c r="G18" s="100"/>
      <c r="H18" s="37"/>
      <c r="I18" s="37"/>
      <c r="J18" s="106"/>
      <c r="K18" s="37"/>
      <c r="L18" s="37"/>
    </row>
    <row r="19" spans="1:15" s="3" customFormat="1" ht="87" customHeight="1">
      <c r="A19" s="122" t="s">
        <v>973</v>
      </c>
      <c r="B19" s="71" t="s">
        <v>153</v>
      </c>
      <c r="C19" s="71" t="s">
        <v>154</v>
      </c>
      <c r="D19" s="71" t="s">
        <v>155</v>
      </c>
      <c r="E19" s="71" t="s">
        <v>156</v>
      </c>
      <c r="F19" s="71"/>
      <c r="G19" s="107"/>
      <c r="H19" s="37">
        <f>H20+H39+H52+H63</f>
        <v>21817.3</v>
      </c>
      <c r="I19" s="37">
        <f>I20+I39+I52+I63</f>
        <v>22186</v>
      </c>
      <c r="J19" s="108">
        <f aca="true" t="shared" si="0" ref="J19:J82">I19-H19</f>
        <v>368.7000000000007</v>
      </c>
      <c r="K19" s="37">
        <f>K20+K39+K52+K63</f>
        <v>856.1</v>
      </c>
      <c r="L19" s="37">
        <f>L20+L39+L52+L63</f>
        <v>9430</v>
      </c>
      <c r="O19" s="14"/>
    </row>
    <row r="20" spans="1:14" s="5" customFormat="1" ht="50.25" customHeight="1">
      <c r="A20" s="109" t="s">
        <v>157</v>
      </c>
      <c r="B20" s="71" t="s">
        <v>153</v>
      </c>
      <c r="C20" s="71" t="s">
        <v>136</v>
      </c>
      <c r="D20" s="71" t="s">
        <v>155</v>
      </c>
      <c r="E20" s="71" t="s">
        <v>156</v>
      </c>
      <c r="F20" s="71"/>
      <c r="G20" s="107"/>
      <c r="H20" s="37">
        <f>H21+H28</f>
        <v>2547.3</v>
      </c>
      <c r="I20" s="37">
        <f>I21+I28</f>
        <v>2547.3</v>
      </c>
      <c r="J20" s="108">
        <f t="shared" si="0"/>
        <v>0</v>
      </c>
      <c r="K20" s="37">
        <f>K21+K28</f>
        <v>0</v>
      </c>
      <c r="L20" s="37">
        <f>L21+L28</f>
        <v>0</v>
      </c>
      <c r="N20" s="69"/>
    </row>
    <row r="21" spans="1:12" s="5" customFormat="1" ht="51" customHeight="1">
      <c r="A21" s="109" t="s">
        <v>885</v>
      </c>
      <c r="B21" s="71" t="s">
        <v>153</v>
      </c>
      <c r="C21" s="71" t="s">
        <v>136</v>
      </c>
      <c r="D21" s="71" t="s">
        <v>153</v>
      </c>
      <c r="E21" s="71" t="s">
        <v>156</v>
      </c>
      <c r="F21" s="71"/>
      <c r="G21" s="107"/>
      <c r="H21" s="37">
        <f>H22+H25</f>
        <v>1177.2</v>
      </c>
      <c r="I21" s="37">
        <f>I22+I25</f>
        <v>1177.2</v>
      </c>
      <c r="J21" s="108">
        <f t="shared" si="0"/>
        <v>0</v>
      </c>
      <c r="K21" s="37">
        <f>K22+K25</f>
        <v>0</v>
      </c>
      <c r="L21" s="37">
        <f>L22+L25</f>
        <v>0</v>
      </c>
    </row>
    <row r="22" spans="1:12" s="4" customFormat="1" ht="42.75" customHeight="1">
      <c r="A22" s="110" t="s">
        <v>931</v>
      </c>
      <c r="B22" s="111" t="s">
        <v>153</v>
      </c>
      <c r="C22" s="111" t="s">
        <v>136</v>
      </c>
      <c r="D22" s="111" t="s">
        <v>153</v>
      </c>
      <c r="E22" s="111" t="s">
        <v>158</v>
      </c>
      <c r="F22" s="111"/>
      <c r="G22" s="112"/>
      <c r="H22" s="78">
        <f>H23</f>
        <v>150</v>
      </c>
      <c r="I22" s="78">
        <f>I23</f>
        <v>150</v>
      </c>
      <c r="J22" s="113">
        <f t="shared" si="0"/>
        <v>0</v>
      </c>
      <c r="K22" s="78">
        <f>K23</f>
        <v>0</v>
      </c>
      <c r="L22" s="78">
        <f>L23</f>
        <v>0</v>
      </c>
    </row>
    <row r="23" spans="1:12" s="4" customFormat="1" ht="18" customHeight="1">
      <c r="A23" s="114" t="s">
        <v>767</v>
      </c>
      <c r="B23" s="111" t="s">
        <v>153</v>
      </c>
      <c r="C23" s="111" t="s">
        <v>136</v>
      </c>
      <c r="D23" s="111" t="s">
        <v>153</v>
      </c>
      <c r="E23" s="111" t="s">
        <v>158</v>
      </c>
      <c r="F23" s="111" t="s">
        <v>766</v>
      </c>
      <c r="G23" s="112"/>
      <c r="H23" s="78">
        <f>H24</f>
        <v>150</v>
      </c>
      <c r="I23" s="78">
        <f>I24</f>
        <v>150</v>
      </c>
      <c r="J23" s="113">
        <f t="shared" si="0"/>
        <v>0</v>
      </c>
      <c r="K23" s="78">
        <f>K24</f>
        <v>0</v>
      </c>
      <c r="L23" s="78">
        <f>L24</f>
        <v>0</v>
      </c>
    </row>
    <row r="24" spans="1:12" s="4" customFormat="1" ht="17.25" customHeight="1">
      <c r="A24" s="22" t="s">
        <v>78</v>
      </c>
      <c r="B24" s="111" t="s">
        <v>153</v>
      </c>
      <c r="C24" s="111" t="s">
        <v>136</v>
      </c>
      <c r="D24" s="111" t="s">
        <v>153</v>
      </c>
      <c r="E24" s="111" t="s">
        <v>158</v>
      </c>
      <c r="F24" s="111" t="s">
        <v>766</v>
      </c>
      <c r="G24" s="112" t="s">
        <v>79</v>
      </c>
      <c r="H24" s="78">
        <f>'Пр. 11'!I588</f>
        <v>150</v>
      </c>
      <c r="I24" s="78">
        <f>'Пр. 11'!J588</f>
        <v>150</v>
      </c>
      <c r="J24" s="113">
        <f t="shared" si="0"/>
        <v>0</v>
      </c>
      <c r="K24" s="78">
        <f>'Пр. 11'!L588</f>
        <v>0</v>
      </c>
      <c r="L24" s="78">
        <f>'Пр. 11'!M588</f>
        <v>0</v>
      </c>
    </row>
    <row r="25" spans="1:12" s="4" customFormat="1" ht="51" customHeight="1">
      <c r="A25" s="22" t="s">
        <v>970</v>
      </c>
      <c r="B25" s="111" t="s">
        <v>153</v>
      </c>
      <c r="C25" s="111" t="s">
        <v>136</v>
      </c>
      <c r="D25" s="111" t="s">
        <v>153</v>
      </c>
      <c r="E25" s="111" t="s">
        <v>945</v>
      </c>
      <c r="F25" s="111"/>
      <c r="G25" s="112"/>
      <c r="H25" s="78">
        <f>H26</f>
        <v>1027.2</v>
      </c>
      <c r="I25" s="78">
        <f>I26</f>
        <v>1027.2</v>
      </c>
      <c r="J25" s="113">
        <f t="shared" si="0"/>
        <v>0</v>
      </c>
      <c r="K25" s="78">
        <f>K26</f>
        <v>0</v>
      </c>
      <c r="L25" s="78">
        <f>L26</f>
        <v>0</v>
      </c>
    </row>
    <row r="26" spans="1:12" s="4" customFormat="1" ht="17.25" customHeight="1">
      <c r="A26" s="114" t="s">
        <v>767</v>
      </c>
      <c r="B26" s="111" t="s">
        <v>153</v>
      </c>
      <c r="C26" s="111" t="s">
        <v>136</v>
      </c>
      <c r="D26" s="111" t="s">
        <v>153</v>
      </c>
      <c r="E26" s="111" t="s">
        <v>945</v>
      </c>
      <c r="F26" s="111" t="s">
        <v>766</v>
      </c>
      <c r="G26" s="112"/>
      <c r="H26" s="78">
        <f>H27</f>
        <v>1027.2</v>
      </c>
      <c r="I26" s="78">
        <f>I27</f>
        <v>1027.2</v>
      </c>
      <c r="J26" s="113">
        <f t="shared" si="0"/>
        <v>0</v>
      </c>
      <c r="K26" s="78">
        <f>K27</f>
        <v>0</v>
      </c>
      <c r="L26" s="78">
        <f>L27</f>
        <v>0</v>
      </c>
    </row>
    <row r="27" spans="1:12" s="4" customFormat="1" ht="17.25" customHeight="1">
      <c r="A27" s="22" t="s">
        <v>76</v>
      </c>
      <c r="B27" s="111" t="s">
        <v>153</v>
      </c>
      <c r="C27" s="111" t="s">
        <v>136</v>
      </c>
      <c r="D27" s="111" t="s">
        <v>153</v>
      </c>
      <c r="E27" s="111" t="s">
        <v>945</v>
      </c>
      <c r="F27" s="111" t="s">
        <v>766</v>
      </c>
      <c r="G27" s="112" t="s">
        <v>77</v>
      </c>
      <c r="H27" s="78">
        <f>'Пр. 11'!I577</f>
        <v>1027.2</v>
      </c>
      <c r="I27" s="78">
        <f>'Пр. 11'!J577</f>
        <v>1027.2</v>
      </c>
      <c r="J27" s="113">
        <f t="shared" si="0"/>
        <v>0</v>
      </c>
      <c r="K27" s="78">
        <f>'Пр. 11'!L577</f>
        <v>0</v>
      </c>
      <c r="L27" s="78">
        <f>'Пр. 11'!M577</f>
        <v>0</v>
      </c>
    </row>
    <row r="28" spans="1:12" s="5" customFormat="1" ht="60" customHeight="1">
      <c r="A28" s="109" t="s">
        <v>904</v>
      </c>
      <c r="B28" s="71" t="s">
        <v>153</v>
      </c>
      <c r="C28" s="71" t="s">
        <v>136</v>
      </c>
      <c r="D28" s="71" t="s">
        <v>166</v>
      </c>
      <c r="E28" s="71" t="s">
        <v>156</v>
      </c>
      <c r="F28" s="71"/>
      <c r="G28" s="107"/>
      <c r="H28" s="37">
        <f>H29+H32+H35</f>
        <v>1370.1</v>
      </c>
      <c r="I28" s="37">
        <f>I29+I32+I35</f>
        <v>1370.1</v>
      </c>
      <c r="J28" s="108">
        <f t="shared" si="0"/>
        <v>0</v>
      </c>
      <c r="K28" s="37">
        <f>K29+K32+K35</f>
        <v>0</v>
      </c>
      <c r="L28" s="37">
        <f>L29+L32+L35</f>
        <v>0</v>
      </c>
    </row>
    <row r="29" spans="1:12" s="4" customFormat="1" ht="50.25" customHeight="1">
      <c r="A29" s="22" t="s">
        <v>1009</v>
      </c>
      <c r="B29" s="111" t="s">
        <v>153</v>
      </c>
      <c r="C29" s="111" t="s">
        <v>136</v>
      </c>
      <c r="D29" s="111" t="s">
        <v>166</v>
      </c>
      <c r="E29" s="111" t="s">
        <v>948</v>
      </c>
      <c r="F29" s="111"/>
      <c r="G29" s="112"/>
      <c r="H29" s="78">
        <f>H30</f>
        <v>610</v>
      </c>
      <c r="I29" s="78">
        <f>I30</f>
        <v>610</v>
      </c>
      <c r="J29" s="113">
        <f t="shared" si="0"/>
        <v>0</v>
      </c>
      <c r="K29" s="78">
        <f>K30</f>
        <v>0</v>
      </c>
      <c r="L29" s="78">
        <f>L30</f>
        <v>0</v>
      </c>
    </row>
    <row r="30" spans="1:12" s="4" customFormat="1" ht="22.5" customHeight="1">
      <c r="A30" s="114" t="s">
        <v>767</v>
      </c>
      <c r="B30" s="111" t="s">
        <v>153</v>
      </c>
      <c r="C30" s="111" t="s">
        <v>136</v>
      </c>
      <c r="D30" s="111" t="s">
        <v>166</v>
      </c>
      <c r="E30" s="111" t="s">
        <v>948</v>
      </c>
      <c r="F30" s="111" t="s">
        <v>766</v>
      </c>
      <c r="G30" s="112"/>
      <c r="H30" s="78">
        <f>H31</f>
        <v>610</v>
      </c>
      <c r="I30" s="78">
        <f>I31</f>
        <v>610</v>
      </c>
      <c r="J30" s="113">
        <f t="shared" si="0"/>
        <v>0</v>
      </c>
      <c r="K30" s="78">
        <f>K31</f>
        <v>0</v>
      </c>
      <c r="L30" s="78">
        <f>L31</f>
        <v>0</v>
      </c>
    </row>
    <row r="31" spans="1:12" s="4" customFormat="1" ht="18.75" customHeight="1">
      <c r="A31" s="115" t="s">
        <v>80</v>
      </c>
      <c r="B31" s="111" t="s">
        <v>153</v>
      </c>
      <c r="C31" s="111" t="s">
        <v>136</v>
      </c>
      <c r="D31" s="111" t="s">
        <v>166</v>
      </c>
      <c r="E31" s="111" t="s">
        <v>948</v>
      </c>
      <c r="F31" s="111" t="s">
        <v>766</v>
      </c>
      <c r="G31" s="112" t="s">
        <v>81</v>
      </c>
      <c r="H31" s="78">
        <f>'Пр. 11'!I614</f>
        <v>610</v>
      </c>
      <c r="I31" s="78">
        <f>'Пр. 11'!J614</f>
        <v>610</v>
      </c>
      <c r="J31" s="113">
        <f t="shared" si="0"/>
        <v>0</v>
      </c>
      <c r="K31" s="78">
        <f>'Пр. 11'!L614</f>
        <v>0</v>
      </c>
      <c r="L31" s="78">
        <f>'Пр. 11'!M614</f>
        <v>0</v>
      </c>
    </row>
    <row r="32" spans="1:12" s="4" customFormat="1" ht="54" customHeight="1">
      <c r="A32" s="115" t="s">
        <v>933</v>
      </c>
      <c r="B32" s="111" t="s">
        <v>153</v>
      </c>
      <c r="C32" s="111" t="s">
        <v>136</v>
      </c>
      <c r="D32" s="111" t="s">
        <v>166</v>
      </c>
      <c r="E32" s="111" t="s">
        <v>949</v>
      </c>
      <c r="F32" s="111"/>
      <c r="G32" s="112"/>
      <c r="H32" s="78">
        <f>H33</f>
        <v>458.1</v>
      </c>
      <c r="I32" s="78">
        <f>I33</f>
        <v>458.1</v>
      </c>
      <c r="J32" s="113">
        <f t="shared" si="0"/>
        <v>0</v>
      </c>
      <c r="K32" s="78">
        <f>K33</f>
        <v>0</v>
      </c>
      <c r="L32" s="78">
        <f>L33</f>
        <v>0</v>
      </c>
    </row>
    <row r="33" spans="1:12" s="4" customFormat="1" ht="23.25" customHeight="1">
      <c r="A33" s="114" t="s">
        <v>767</v>
      </c>
      <c r="B33" s="111" t="s">
        <v>153</v>
      </c>
      <c r="C33" s="111" t="s">
        <v>136</v>
      </c>
      <c r="D33" s="111" t="s">
        <v>166</v>
      </c>
      <c r="E33" s="111" t="s">
        <v>949</v>
      </c>
      <c r="F33" s="111" t="s">
        <v>766</v>
      </c>
      <c r="G33" s="112"/>
      <c r="H33" s="78">
        <f>H34</f>
        <v>458.1</v>
      </c>
      <c r="I33" s="78">
        <f>I34</f>
        <v>458.1</v>
      </c>
      <c r="J33" s="113">
        <f t="shared" si="0"/>
        <v>0</v>
      </c>
      <c r="K33" s="78">
        <f>K34</f>
        <v>0</v>
      </c>
      <c r="L33" s="78">
        <f>L34</f>
        <v>0</v>
      </c>
    </row>
    <row r="34" spans="1:12" s="4" customFormat="1" ht="23.25" customHeight="1">
      <c r="A34" s="115" t="s">
        <v>80</v>
      </c>
      <c r="B34" s="111" t="s">
        <v>153</v>
      </c>
      <c r="C34" s="111" t="s">
        <v>136</v>
      </c>
      <c r="D34" s="111" t="s">
        <v>166</v>
      </c>
      <c r="E34" s="111" t="s">
        <v>949</v>
      </c>
      <c r="F34" s="111" t="s">
        <v>766</v>
      </c>
      <c r="G34" s="112" t="s">
        <v>81</v>
      </c>
      <c r="H34" s="78">
        <f>'Пр. 11'!I616</f>
        <v>458.1</v>
      </c>
      <c r="I34" s="78">
        <f>'Пр. 11'!J616</f>
        <v>458.1</v>
      </c>
      <c r="J34" s="113">
        <f t="shared" si="0"/>
        <v>0</v>
      </c>
      <c r="K34" s="78">
        <f>'Пр. 11'!L616</f>
        <v>0</v>
      </c>
      <c r="L34" s="78">
        <f>'Пр. 11'!M616</f>
        <v>0</v>
      </c>
    </row>
    <row r="35" spans="1:12" s="4" customFormat="1" ht="38.25" customHeight="1">
      <c r="A35" s="114" t="s">
        <v>934</v>
      </c>
      <c r="B35" s="111" t="s">
        <v>153</v>
      </c>
      <c r="C35" s="111" t="s">
        <v>136</v>
      </c>
      <c r="D35" s="111" t="s">
        <v>166</v>
      </c>
      <c r="E35" s="111" t="s">
        <v>950</v>
      </c>
      <c r="F35" s="111"/>
      <c r="G35" s="112"/>
      <c r="H35" s="78">
        <f>H36</f>
        <v>302</v>
      </c>
      <c r="I35" s="78">
        <f>I36</f>
        <v>302</v>
      </c>
      <c r="J35" s="113">
        <f t="shared" si="0"/>
        <v>0</v>
      </c>
      <c r="K35" s="78">
        <f>K36</f>
        <v>0</v>
      </c>
      <c r="L35" s="78">
        <f>L36</f>
        <v>0</v>
      </c>
    </row>
    <row r="36" spans="1:12" s="4" customFormat="1" ht="23.25" customHeight="1">
      <c r="A36" s="114" t="s">
        <v>767</v>
      </c>
      <c r="B36" s="111" t="s">
        <v>153</v>
      </c>
      <c r="C36" s="111" t="s">
        <v>136</v>
      </c>
      <c r="D36" s="111" t="s">
        <v>166</v>
      </c>
      <c r="E36" s="111" t="s">
        <v>950</v>
      </c>
      <c r="F36" s="111" t="s">
        <v>766</v>
      </c>
      <c r="G36" s="112"/>
      <c r="H36" s="78">
        <f>H37+H38</f>
        <v>302</v>
      </c>
      <c r="I36" s="78">
        <f>I37+I38</f>
        <v>302</v>
      </c>
      <c r="J36" s="113">
        <f t="shared" si="0"/>
        <v>0</v>
      </c>
      <c r="K36" s="78">
        <f>K37+K38</f>
        <v>0</v>
      </c>
      <c r="L36" s="78">
        <f>L37+L38</f>
        <v>0</v>
      </c>
    </row>
    <row r="37" spans="1:12" s="4" customFormat="1" ht="23.25" customHeight="1">
      <c r="A37" s="115" t="s">
        <v>80</v>
      </c>
      <c r="B37" s="111" t="s">
        <v>153</v>
      </c>
      <c r="C37" s="111" t="s">
        <v>136</v>
      </c>
      <c r="D37" s="111" t="s">
        <v>166</v>
      </c>
      <c r="E37" s="111" t="s">
        <v>950</v>
      </c>
      <c r="F37" s="111" t="s">
        <v>766</v>
      </c>
      <c r="G37" s="112" t="s">
        <v>79</v>
      </c>
      <c r="H37" s="78">
        <f>'Пр. 11'!I590</f>
        <v>100</v>
      </c>
      <c r="I37" s="78">
        <f>'Пр. 11'!J590</f>
        <v>100</v>
      </c>
      <c r="J37" s="113">
        <f t="shared" si="0"/>
        <v>0</v>
      </c>
      <c r="K37" s="78">
        <f>'Пр. 11'!L590</f>
        <v>0</v>
      </c>
      <c r="L37" s="78">
        <f>'Пр. 11'!M590</f>
        <v>0</v>
      </c>
    </row>
    <row r="38" spans="1:12" s="4" customFormat="1" ht="23.25" customHeight="1">
      <c r="A38" s="116" t="s">
        <v>104</v>
      </c>
      <c r="B38" s="111" t="s">
        <v>153</v>
      </c>
      <c r="C38" s="111" t="s">
        <v>136</v>
      </c>
      <c r="D38" s="111" t="s">
        <v>166</v>
      </c>
      <c r="E38" s="111" t="s">
        <v>950</v>
      </c>
      <c r="F38" s="111" t="s">
        <v>766</v>
      </c>
      <c r="G38" s="112" t="s">
        <v>105</v>
      </c>
      <c r="H38" s="78">
        <f>'Пр. 11'!I640</f>
        <v>202</v>
      </c>
      <c r="I38" s="78">
        <f>'Пр. 11'!J640</f>
        <v>202</v>
      </c>
      <c r="J38" s="113">
        <f t="shared" si="0"/>
        <v>0</v>
      </c>
      <c r="K38" s="78">
        <f>'Пр. 11'!L640</f>
        <v>0</v>
      </c>
      <c r="L38" s="78">
        <f>'Пр. 11'!M640</f>
        <v>0</v>
      </c>
    </row>
    <row r="39" spans="1:12" s="5" customFormat="1" ht="32.25" customHeight="1">
      <c r="A39" s="109" t="s">
        <v>886</v>
      </c>
      <c r="B39" s="71" t="s">
        <v>153</v>
      </c>
      <c r="C39" s="71" t="s">
        <v>137</v>
      </c>
      <c r="D39" s="71" t="s">
        <v>155</v>
      </c>
      <c r="E39" s="71" t="s">
        <v>156</v>
      </c>
      <c r="F39" s="71"/>
      <c r="G39" s="107"/>
      <c r="H39" s="37">
        <f>H40</f>
        <v>2315</v>
      </c>
      <c r="I39" s="37">
        <f>I40</f>
        <v>2683.7</v>
      </c>
      <c r="J39" s="108">
        <f t="shared" si="0"/>
        <v>368.6999999999998</v>
      </c>
      <c r="K39" s="131">
        <f>K40</f>
        <v>0</v>
      </c>
      <c r="L39" s="131">
        <f>L40</f>
        <v>0</v>
      </c>
    </row>
    <row r="40" spans="1:12" s="5" customFormat="1" ht="47.25" customHeight="1">
      <c r="A40" s="117" t="s">
        <v>887</v>
      </c>
      <c r="B40" s="71" t="s">
        <v>153</v>
      </c>
      <c r="C40" s="71" t="s">
        <v>137</v>
      </c>
      <c r="D40" s="71" t="s">
        <v>153</v>
      </c>
      <c r="E40" s="71" t="s">
        <v>156</v>
      </c>
      <c r="F40" s="71"/>
      <c r="G40" s="118"/>
      <c r="H40" s="37">
        <f>H41+H44+H49</f>
        <v>2315</v>
      </c>
      <c r="I40" s="37">
        <f>I41+I44+I49</f>
        <v>2683.7</v>
      </c>
      <c r="J40" s="108">
        <f t="shared" si="0"/>
        <v>368.6999999999998</v>
      </c>
      <c r="K40" s="37">
        <f>K41+K44+K49</f>
        <v>0</v>
      </c>
      <c r="L40" s="37">
        <f>L41+L44+L49</f>
        <v>0</v>
      </c>
    </row>
    <row r="41" spans="1:12" s="4" customFormat="1" ht="50.25" customHeight="1">
      <c r="A41" s="119" t="s">
        <v>552</v>
      </c>
      <c r="B41" s="111" t="s">
        <v>153</v>
      </c>
      <c r="C41" s="111" t="s">
        <v>137</v>
      </c>
      <c r="D41" s="111" t="s">
        <v>153</v>
      </c>
      <c r="E41" s="111" t="s">
        <v>551</v>
      </c>
      <c r="F41" s="111"/>
      <c r="G41" s="120"/>
      <c r="H41" s="78">
        <f>H42</f>
        <v>690</v>
      </c>
      <c r="I41" s="78">
        <f>I42</f>
        <v>758.7</v>
      </c>
      <c r="J41" s="113">
        <f t="shared" si="0"/>
        <v>68.70000000000005</v>
      </c>
      <c r="K41" s="131">
        <f>K42</f>
        <v>0</v>
      </c>
      <c r="L41" s="131">
        <f>L42</f>
        <v>0</v>
      </c>
    </row>
    <row r="42" spans="1:12" s="4" customFormat="1" ht="23.25" customHeight="1">
      <c r="A42" s="114" t="s">
        <v>767</v>
      </c>
      <c r="B42" s="111" t="s">
        <v>153</v>
      </c>
      <c r="C42" s="111" t="s">
        <v>137</v>
      </c>
      <c r="D42" s="111" t="s">
        <v>153</v>
      </c>
      <c r="E42" s="111" t="s">
        <v>551</v>
      </c>
      <c r="F42" s="111" t="s">
        <v>766</v>
      </c>
      <c r="G42" s="112"/>
      <c r="H42" s="78">
        <f>H43</f>
        <v>690</v>
      </c>
      <c r="I42" s="78">
        <f>I43</f>
        <v>758.7</v>
      </c>
      <c r="J42" s="113">
        <f t="shared" si="0"/>
        <v>68.70000000000005</v>
      </c>
      <c r="K42" s="131">
        <f>K43</f>
        <v>0</v>
      </c>
      <c r="L42" s="131">
        <f>L43</f>
        <v>0</v>
      </c>
    </row>
    <row r="43" spans="1:12" s="4" customFormat="1" ht="21.75" customHeight="1">
      <c r="A43" s="22" t="s">
        <v>78</v>
      </c>
      <c r="B43" s="111" t="s">
        <v>153</v>
      </c>
      <c r="C43" s="111" t="s">
        <v>137</v>
      </c>
      <c r="D43" s="111" t="s">
        <v>153</v>
      </c>
      <c r="E43" s="111" t="s">
        <v>551</v>
      </c>
      <c r="F43" s="111" t="s">
        <v>766</v>
      </c>
      <c r="G43" s="112" t="s">
        <v>79</v>
      </c>
      <c r="H43" s="78">
        <f>'Пр. 11'!I593</f>
        <v>690</v>
      </c>
      <c r="I43" s="78">
        <f>'Пр. 11'!J593</f>
        <v>758.7</v>
      </c>
      <c r="J43" s="113">
        <f t="shared" si="0"/>
        <v>68.70000000000005</v>
      </c>
      <c r="K43" s="78">
        <f>'Пр. 11'!L593</f>
        <v>0</v>
      </c>
      <c r="L43" s="78">
        <f>'Пр. 11'!M593</f>
        <v>0</v>
      </c>
    </row>
    <row r="44" spans="1:12" s="4" customFormat="1" ht="54" customHeight="1">
      <c r="A44" s="121" t="s">
        <v>160</v>
      </c>
      <c r="B44" s="111" t="s">
        <v>153</v>
      </c>
      <c r="C44" s="111" t="s">
        <v>137</v>
      </c>
      <c r="D44" s="111" t="s">
        <v>153</v>
      </c>
      <c r="E44" s="111" t="s">
        <v>161</v>
      </c>
      <c r="F44" s="111"/>
      <c r="G44" s="112"/>
      <c r="H44" s="78">
        <f>H45+H47</f>
        <v>1625</v>
      </c>
      <c r="I44" s="78">
        <f>I45+I47</f>
        <v>1625</v>
      </c>
      <c r="J44" s="113">
        <f t="shared" si="0"/>
        <v>0</v>
      </c>
      <c r="K44" s="78">
        <f>K45+K47</f>
        <v>0</v>
      </c>
      <c r="L44" s="78">
        <f>L45+L47</f>
        <v>0</v>
      </c>
    </row>
    <row r="45" spans="1:12" s="4" customFormat="1" ht="32.25" customHeight="1">
      <c r="A45" s="22" t="s">
        <v>758</v>
      </c>
      <c r="B45" s="111" t="s">
        <v>153</v>
      </c>
      <c r="C45" s="111" t="s">
        <v>137</v>
      </c>
      <c r="D45" s="111" t="s">
        <v>153</v>
      </c>
      <c r="E45" s="111" t="s">
        <v>161</v>
      </c>
      <c r="F45" s="111" t="s">
        <v>757</v>
      </c>
      <c r="G45" s="112"/>
      <c r="H45" s="78">
        <f>H46</f>
        <v>1550</v>
      </c>
      <c r="I45" s="78">
        <f>I46</f>
        <v>1550</v>
      </c>
      <c r="J45" s="113">
        <f t="shared" si="0"/>
        <v>0</v>
      </c>
      <c r="K45" s="131">
        <f>K46</f>
        <v>0</v>
      </c>
      <c r="L45" s="131">
        <f>L46</f>
        <v>0</v>
      </c>
    </row>
    <row r="46" spans="1:12" s="4" customFormat="1" ht="21.75" customHeight="1">
      <c r="A46" s="22" t="s">
        <v>78</v>
      </c>
      <c r="B46" s="111" t="s">
        <v>153</v>
      </c>
      <c r="C46" s="111" t="s">
        <v>137</v>
      </c>
      <c r="D46" s="111" t="s">
        <v>153</v>
      </c>
      <c r="E46" s="111" t="s">
        <v>161</v>
      </c>
      <c r="F46" s="111" t="s">
        <v>757</v>
      </c>
      <c r="G46" s="112" t="s">
        <v>79</v>
      </c>
      <c r="H46" s="78">
        <f>'Пр. 11'!I276</f>
        <v>1550</v>
      </c>
      <c r="I46" s="78">
        <f>'Пр. 11'!J276</f>
        <v>1550</v>
      </c>
      <c r="J46" s="113">
        <f t="shared" si="0"/>
        <v>0</v>
      </c>
      <c r="K46" s="78">
        <f>'Пр. 11'!L276</f>
        <v>0</v>
      </c>
      <c r="L46" s="78">
        <f>'Пр. 11'!M276</f>
        <v>0</v>
      </c>
    </row>
    <row r="47" spans="1:12" s="4" customFormat="1" ht="21.75" customHeight="1">
      <c r="A47" s="123" t="s">
        <v>767</v>
      </c>
      <c r="B47" s="111" t="s">
        <v>153</v>
      </c>
      <c r="C47" s="111" t="s">
        <v>137</v>
      </c>
      <c r="D47" s="111" t="s">
        <v>153</v>
      </c>
      <c r="E47" s="111" t="s">
        <v>161</v>
      </c>
      <c r="F47" s="111" t="s">
        <v>766</v>
      </c>
      <c r="G47" s="112"/>
      <c r="H47" s="78">
        <f>H48</f>
        <v>75</v>
      </c>
      <c r="I47" s="78">
        <f>I48</f>
        <v>75</v>
      </c>
      <c r="J47" s="113">
        <f t="shared" si="0"/>
        <v>0</v>
      </c>
      <c r="K47" s="78">
        <f>K48</f>
        <v>0</v>
      </c>
      <c r="L47" s="78">
        <f>L48</f>
        <v>0</v>
      </c>
    </row>
    <row r="48" spans="1:12" s="4" customFormat="1" ht="21.75" customHeight="1">
      <c r="A48" s="22" t="s">
        <v>78</v>
      </c>
      <c r="B48" s="111" t="s">
        <v>153</v>
      </c>
      <c r="C48" s="111" t="s">
        <v>137</v>
      </c>
      <c r="D48" s="111" t="s">
        <v>153</v>
      </c>
      <c r="E48" s="111" t="s">
        <v>161</v>
      </c>
      <c r="F48" s="111" t="s">
        <v>766</v>
      </c>
      <c r="G48" s="112" t="s">
        <v>79</v>
      </c>
      <c r="H48" s="78">
        <f>'Пр. 11'!I595</f>
        <v>75</v>
      </c>
      <c r="I48" s="78">
        <f>'Пр. 11'!J595</f>
        <v>75</v>
      </c>
      <c r="J48" s="113">
        <f t="shared" si="0"/>
        <v>0</v>
      </c>
      <c r="K48" s="78">
        <f>'Пр. 11'!L595</f>
        <v>0</v>
      </c>
      <c r="L48" s="78">
        <f>'Пр. 11'!M595</f>
        <v>0</v>
      </c>
    </row>
    <row r="49" spans="1:12" s="4" customFormat="1" ht="33" customHeight="1">
      <c r="A49" s="121" t="s">
        <v>1249</v>
      </c>
      <c r="B49" s="111" t="s">
        <v>153</v>
      </c>
      <c r="C49" s="111" t="s">
        <v>137</v>
      </c>
      <c r="D49" s="111" t="s">
        <v>153</v>
      </c>
      <c r="E49" s="111" t="s">
        <v>1220</v>
      </c>
      <c r="F49" s="111"/>
      <c r="G49" s="112"/>
      <c r="H49" s="78">
        <f>H50</f>
        <v>0</v>
      </c>
      <c r="I49" s="78">
        <f>I50</f>
        <v>300</v>
      </c>
      <c r="J49" s="113">
        <f t="shared" si="0"/>
        <v>300</v>
      </c>
      <c r="K49" s="78">
        <f>K50</f>
        <v>0</v>
      </c>
      <c r="L49" s="78">
        <f>L50</f>
        <v>0</v>
      </c>
    </row>
    <row r="50" spans="1:12" s="4" customFormat="1" ht="33.75" customHeight="1">
      <c r="A50" s="114" t="s">
        <v>771</v>
      </c>
      <c r="B50" s="111" t="s">
        <v>153</v>
      </c>
      <c r="C50" s="111" t="s">
        <v>137</v>
      </c>
      <c r="D50" s="111" t="s">
        <v>153</v>
      </c>
      <c r="E50" s="111" t="s">
        <v>1220</v>
      </c>
      <c r="F50" s="111" t="s">
        <v>768</v>
      </c>
      <c r="G50" s="112"/>
      <c r="H50" s="78">
        <f>H51</f>
        <v>0</v>
      </c>
      <c r="I50" s="78">
        <f>I51</f>
        <v>300</v>
      </c>
      <c r="J50" s="113">
        <f t="shared" si="0"/>
        <v>300</v>
      </c>
      <c r="K50" s="78">
        <f>K51</f>
        <v>0</v>
      </c>
      <c r="L50" s="78">
        <f>L51</f>
        <v>0</v>
      </c>
    </row>
    <row r="51" spans="1:12" s="4" customFormat="1" ht="21.75" customHeight="1">
      <c r="A51" s="22" t="s">
        <v>78</v>
      </c>
      <c r="B51" s="111" t="s">
        <v>153</v>
      </c>
      <c r="C51" s="111" t="s">
        <v>137</v>
      </c>
      <c r="D51" s="111" t="s">
        <v>153</v>
      </c>
      <c r="E51" s="111" t="s">
        <v>1220</v>
      </c>
      <c r="F51" s="111" t="s">
        <v>768</v>
      </c>
      <c r="G51" s="112" t="s">
        <v>79</v>
      </c>
      <c r="H51" s="78">
        <f>'Пр. 11'!I278</f>
        <v>0</v>
      </c>
      <c r="I51" s="78">
        <f>'Пр. 11'!J278</f>
        <v>300</v>
      </c>
      <c r="J51" s="113">
        <f t="shared" si="0"/>
        <v>300</v>
      </c>
      <c r="K51" s="78">
        <f>'Пр. 11'!L278</f>
        <v>0</v>
      </c>
      <c r="L51" s="78">
        <f>'Пр. 11'!M278</f>
        <v>0</v>
      </c>
    </row>
    <row r="52" spans="1:12" s="5" customFormat="1" ht="36" customHeight="1">
      <c r="A52" s="117" t="s">
        <v>888</v>
      </c>
      <c r="B52" s="71" t="s">
        <v>153</v>
      </c>
      <c r="C52" s="71" t="s">
        <v>139</v>
      </c>
      <c r="D52" s="71" t="s">
        <v>155</v>
      </c>
      <c r="E52" s="71" t="s">
        <v>156</v>
      </c>
      <c r="F52" s="71"/>
      <c r="G52" s="107"/>
      <c r="H52" s="37">
        <f>H53</f>
        <v>2455</v>
      </c>
      <c r="I52" s="37">
        <f>I53</f>
        <v>2455</v>
      </c>
      <c r="J52" s="108">
        <f t="shared" si="0"/>
        <v>0</v>
      </c>
      <c r="K52" s="37">
        <f>K53</f>
        <v>0</v>
      </c>
      <c r="L52" s="37">
        <f>L53</f>
        <v>0</v>
      </c>
    </row>
    <row r="53" spans="1:12" s="5" customFormat="1" ht="50.25" customHeight="1">
      <c r="A53" s="117" t="s">
        <v>889</v>
      </c>
      <c r="B53" s="71" t="s">
        <v>153</v>
      </c>
      <c r="C53" s="71" t="s">
        <v>139</v>
      </c>
      <c r="D53" s="71" t="s">
        <v>153</v>
      </c>
      <c r="E53" s="71" t="s">
        <v>156</v>
      </c>
      <c r="F53" s="71"/>
      <c r="G53" s="107"/>
      <c r="H53" s="37">
        <f>H54+H60+H57</f>
        <v>2455</v>
      </c>
      <c r="I53" s="37">
        <f>I54+I60+I57</f>
        <v>2455</v>
      </c>
      <c r="J53" s="108">
        <f t="shared" si="0"/>
        <v>0</v>
      </c>
      <c r="K53" s="37">
        <f>K54+K60+K57</f>
        <v>0</v>
      </c>
      <c r="L53" s="37">
        <f>L54+L60+L57</f>
        <v>0</v>
      </c>
    </row>
    <row r="54" spans="1:12" s="4" customFormat="1" ht="54.75" customHeight="1">
      <c r="A54" s="115" t="s">
        <v>946</v>
      </c>
      <c r="B54" s="111" t="s">
        <v>153</v>
      </c>
      <c r="C54" s="111" t="s">
        <v>139</v>
      </c>
      <c r="D54" s="111" t="s">
        <v>153</v>
      </c>
      <c r="E54" s="111" t="s">
        <v>162</v>
      </c>
      <c r="F54" s="111"/>
      <c r="G54" s="112"/>
      <c r="H54" s="78">
        <f>H55</f>
        <v>1960</v>
      </c>
      <c r="I54" s="78">
        <f>I55</f>
        <v>1960</v>
      </c>
      <c r="J54" s="113">
        <f t="shared" si="0"/>
        <v>0</v>
      </c>
      <c r="K54" s="78">
        <f>K55</f>
        <v>0</v>
      </c>
      <c r="L54" s="78">
        <f>L55</f>
        <v>0</v>
      </c>
    </row>
    <row r="55" spans="1:12" s="4" customFormat="1" ht="17.25" customHeight="1">
      <c r="A55" s="115" t="s">
        <v>765</v>
      </c>
      <c r="B55" s="111" t="s">
        <v>153</v>
      </c>
      <c r="C55" s="111" t="s">
        <v>139</v>
      </c>
      <c r="D55" s="111" t="s">
        <v>153</v>
      </c>
      <c r="E55" s="111" t="s">
        <v>162</v>
      </c>
      <c r="F55" s="111" t="s">
        <v>766</v>
      </c>
      <c r="G55" s="112"/>
      <c r="H55" s="78">
        <f>H56</f>
        <v>1960</v>
      </c>
      <c r="I55" s="78">
        <f>I56</f>
        <v>1960</v>
      </c>
      <c r="J55" s="113">
        <f t="shared" si="0"/>
        <v>0</v>
      </c>
      <c r="K55" s="78">
        <f>K56</f>
        <v>0</v>
      </c>
      <c r="L55" s="78">
        <f>L56</f>
        <v>0</v>
      </c>
    </row>
    <row r="56" spans="1:12" s="4" customFormat="1" ht="17.25" customHeight="1">
      <c r="A56" s="22" t="s">
        <v>78</v>
      </c>
      <c r="B56" s="111" t="s">
        <v>153</v>
      </c>
      <c r="C56" s="111" t="s">
        <v>139</v>
      </c>
      <c r="D56" s="111" t="s">
        <v>153</v>
      </c>
      <c r="E56" s="111" t="s">
        <v>162</v>
      </c>
      <c r="F56" s="111" t="s">
        <v>766</v>
      </c>
      <c r="G56" s="112" t="s">
        <v>79</v>
      </c>
      <c r="H56" s="78">
        <f>'Пр. 11'!I599</f>
        <v>1960</v>
      </c>
      <c r="I56" s="78">
        <f>'Пр. 11'!J599</f>
        <v>1960</v>
      </c>
      <c r="J56" s="113">
        <f t="shared" si="0"/>
        <v>0</v>
      </c>
      <c r="K56" s="78">
        <f>'Пр. 11'!L599</f>
        <v>0</v>
      </c>
      <c r="L56" s="78">
        <f>'Пр. 11'!M599</f>
        <v>0</v>
      </c>
    </row>
    <row r="57" spans="1:12" s="4" customFormat="1" ht="49.5" customHeight="1">
      <c r="A57" s="22" t="s">
        <v>1126</v>
      </c>
      <c r="B57" s="111" t="s">
        <v>153</v>
      </c>
      <c r="C57" s="111" t="s">
        <v>139</v>
      </c>
      <c r="D57" s="111" t="s">
        <v>153</v>
      </c>
      <c r="E57" s="111" t="s">
        <v>1125</v>
      </c>
      <c r="F57" s="111"/>
      <c r="G57" s="112"/>
      <c r="H57" s="78">
        <f>H58</f>
        <v>294.9</v>
      </c>
      <c r="I57" s="78">
        <f>I58</f>
        <v>294.9</v>
      </c>
      <c r="J57" s="113">
        <f t="shared" si="0"/>
        <v>0</v>
      </c>
      <c r="K57" s="78">
        <f>K58</f>
        <v>0</v>
      </c>
      <c r="L57" s="78">
        <f>L58</f>
        <v>0</v>
      </c>
    </row>
    <row r="58" spans="1:12" s="4" customFormat="1" ht="17.25" customHeight="1">
      <c r="A58" s="115" t="s">
        <v>765</v>
      </c>
      <c r="B58" s="111" t="s">
        <v>153</v>
      </c>
      <c r="C58" s="111" t="s">
        <v>139</v>
      </c>
      <c r="D58" s="111" t="s">
        <v>153</v>
      </c>
      <c r="E58" s="111" t="s">
        <v>1125</v>
      </c>
      <c r="F58" s="111" t="s">
        <v>766</v>
      </c>
      <c r="G58" s="112"/>
      <c r="H58" s="78">
        <f>H59</f>
        <v>294.9</v>
      </c>
      <c r="I58" s="78">
        <f>I59</f>
        <v>294.9</v>
      </c>
      <c r="J58" s="113">
        <f t="shared" si="0"/>
        <v>0</v>
      </c>
      <c r="K58" s="78">
        <f>K59</f>
        <v>0</v>
      </c>
      <c r="L58" s="78">
        <f>L59</f>
        <v>0</v>
      </c>
    </row>
    <row r="59" spans="1:12" s="4" customFormat="1" ht="17.25" customHeight="1">
      <c r="A59" s="22" t="s">
        <v>78</v>
      </c>
      <c r="B59" s="111" t="s">
        <v>153</v>
      </c>
      <c r="C59" s="111" t="s">
        <v>139</v>
      </c>
      <c r="D59" s="111" t="s">
        <v>153</v>
      </c>
      <c r="E59" s="111" t="s">
        <v>1125</v>
      </c>
      <c r="F59" s="111" t="s">
        <v>766</v>
      </c>
      <c r="G59" s="112" t="s">
        <v>79</v>
      </c>
      <c r="H59" s="78">
        <f>'Пр. 11'!I601</f>
        <v>294.9</v>
      </c>
      <c r="I59" s="78">
        <f>'Пр. 11'!J601</f>
        <v>294.9</v>
      </c>
      <c r="J59" s="113">
        <f t="shared" si="0"/>
        <v>0</v>
      </c>
      <c r="K59" s="78">
        <f>'Пр. 11'!L601</f>
        <v>0</v>
      </c>
      <c r="L59" s="78">
        <f>'Пр. 11'!M601</f>
        <v>0</v>
      </c>
    </row>
    <row r="60" spans="1:12" s="4" customFormat="1" ht="18.75" customHeight="1">
      <c r="A60" s="115" t="s">
        <v>163</v>
      </c>
      <c r="B60" s="111" t="s">
        <v>153</v>
      </c>
      <c r="C60" s="111" t="s">
        <v>139</v>
      </c>
      <c r="D60" s="111" t="s">
        <v>153</v>
      </c>
      <c r="E60" s="111" t="s">
        <v>164</v>
      </c>
      <c r="F60" s="111"/>
      <c r="G60" s="112"/>
      <c r="H60" s="78">
        <f>H61</f>
        <v>200.1</v>
      </c>
      <c r="I60" s="78">
        <f>I61</f>
        <v>200.1</v>
      </c>
      <c r="J60" s="113">
        <f t="shared" si="0"/>
        <v>0</v>
      </c>
      <c r="K60" s="78">
        <f>K61</f>
        <v>0</v>
      </c>
      <c r="L60" s="78">
        <f>L61</f>
        <v>0</v>
      </c>
    </row>
    <row r="61" spans="1:12" s="4" customFormat="1" ht="18.75" customHeight="1">
      <c r="A61" s="115" t="s">
        <v>765</v>
      </c>
      <c r="B61" s="111" t="s">
        <v>153</v>
      </c>
      <c r="C61" s="111" t="s">
        <v>139</v>
      </c>
      <c r="D61" s="111" t="s">
        <v>153</v>
      </c>
      <c r="E61" s="111" t="s">
        <v>164</v>
      </c>
      <c r="F61" s="111" t="s">
        <v>766</v>
      </c>
      <c r="G61" s="112"/>
      <c r="H61" s="78">
        <f>H62</f>
        <v>200.1</v>
      </c>
      <c r="I61" s="78">
        <f>I62</f>
        <v>200.1</v>
      </c>
      <c r="J61" s="113">
        <f t="shared" si="0"/>
        <v>0</v>
      </c>
      <c r="K61" s="78">
        <f>K62</f>
        <v>0</v>
      </c>
      <c r="L61" s="78">
        <f>L62</f>
        <v>0</v>
      </c>
    </row>
    <row r="62" spans="1:12" s="4" customFormat="1" ht="19.5" customHeight="1">
      <c r="A62" s="22" t="s">
        <v>78</v>
      </c>
      <c r="B62" s="111" t="s">
        <v>153</v>
      </c>
      <c r="C62" s="111" t="s">
        <v>139</v>
      </c>
      <c r="D62" s="111" t="s">
        <v>153</v>
      </c>
      <c r="E62" s="111" t="s">
        <v>164</v>
      </c>
      <c r="F62" s="111" t="s">
        <v>766</v>
      </c>
      <c r="G62" s="112" t="s">
        <v>79</v>
      </c>
      <c r="H62" s="78">
        <f>'Пр. 11'!I603</f>
        <v>200.1</v>
      </c>
      <c r="I62" s="78">
        <f>'Пр. 11'!J603</f>
        <v>200.1</v>
      </c>
      <c r="J62" s="113">
        <f t="shared" si="0"/>
        <v>0</v>
      </c>
      <c r="K62" s="78">
        <f>'Пр. 11'!L603</f>
        <v>0</v>
      </c>
      <c r="L62" s="78">
        <f>'Пр. 11'!M603</f>
        <v>0</v>
      </c>
    </row>
    <row r="63" spans="1:12" s="5" customFormat="1" ht="33" customHeight="1">
      <c r="A63" s="122" t="s">
        <v>974</v>
      </c>
      <c r="B63" s="71" t="s">
        <v>153</v>
      </c>
      <c r="C63" s="71" t="s">
        <v>140</v>
      </c>
      <c r="D63" s="71" t="s">
        <v>155</v>
      </c>
      <c r="E63" s="71" t="s">
        <v>156</v>
      </c>
      <c r="F63" s="71"/>
      <c r="G63" s="107"/>
      <c r="H63" s="37">
        <f>H64+H68</f>
        <v>14500</v>
      </c>
      <c r="I63" s="37">
        <f>I64+I68</f>
        <v>14500</v>
      </c>
      <c r="J63" s="108">
        <f t="shared" si="0"/>
        <v>0</v>
      </c>
      <c r="K63" s="37">
        <f>K64+K68</f>
        <v>856.1</v>
      </c>
      <c r="L63" s="37">
        <f>L64+L68</f>
        <v>9430</v>
      </c>
    </row>
    <row r="64" spans="1:12" s="5" customFormat="1" ht="33" customHeight="1">
      <c r="A64" s="122" t="s">
        <v>975</v>
      </c>
      <c r="B64" s="71" t="s">
        <v>153</v>
      </c>
      <c r="C64" s="71" t="s">
        <v>140</v>
      </c>
      <c r="D64" s="71" t="s">
        <v>153</v>
      </c>
      <c r="E64" s="71" t="s">
        <v>156</v>
      </c>
      <c r="F64" s="71"/>
      <c r="G64" s="107"/>
      <c r="H64" s="37">
        <f>H65</f>
        <v>14000</v>
      </c>
      <c r="I64" s="37">
        <f>I65</f>
        <v>14000</v>
      </c>
      <c r="J64" s="108">
        <f t="shared" si="0"/>
        <v>0</v>
      </c>
      <c r="K64" s="37">
        <f>K65</f>
        <v>33.6</v>
      </c>
      <c r="L64" s="37">
        <f>L65</f>
        <v>4874</v>
      </c>
    </row>
    <row r="65" spans="1:12" s="4" customFormat="1" ht="32.25" customHeight="1">
      <c r="A65" s="123" t="s">
        <v>548</v>
      </c>
      <c r="B65" s="111" t="s">
        <v>153</v>
      </c>
      <c r="C65" s="111" t="s">
        <v>140</v>
      </c>
      <c r="D65" s="111" t="s">
        <v>153</v>
      </c>
      <c r="E65" s="111" t="s">
        <v>339</v>
      </c>
      <c r="F65" s="111"/>
      <c r="G65" s="111"/>
      <c r="H65" s="78">
        <f>H66</f>
        <v>14000</v>
      </c>
      <c r="I65" s="78">
        <f aca="true" t="shared" si="1" ref="I65:L66">I66</f>
        <v>14000</v>
      </c>
      <c r="J65" s="113">
        <f t="shared" si="0"/>
        <v>0</v>
      </c>
      <c r="K65" s="78">
        <f t="shared" si="1"/>
        <v>33.6</v>
      </c>
      <c r="L65" s="78">
        <f t="shared" si="1"/>
        <v>4874</v>
      </c>
    </row>
    <row r="66" spans="1:12" s="4" customFormat="1" ht="38.25" customHeight="1">
      <c r="A66" s="123" t="s">
        <v>758</v>
      </c>
      <c r="B66" s="111" t="s">
        <v>153</v>
      </c>
      <c r="C66" s="111" t="s">
        <v>140</v>
      </c>
      <c r="D66" s="111" t="s">
        <v>153</v>
      </c>
      <c r="E66" s="111" t="s">
        <v>339</v>
      </c>
      <c r="F66" s="111" t="s">
        <v>757</v>
      </c>
      <c r="G66" s="111"/>
      <c r="H66" s="78">
        <f>H67</f>
        <v>14000</v>
      </c>
      <c r="I66" s="78">
        <f t="shared" si="1"/>
        <v>14000</v>
      </c>
      <c r="J66" s="113">
        <f t="shared" si="0"/>
        <v>0</v>
      </c>
      <c r="K66" s="78">
        <f t="shared" si="1"/>
        <v>33.6</v>
      </c>
      <c r="L66" s="78">
        <f t="shared" si="1"/>
        <v>4874</v>
      </c>
    </row>
    <row r="67" spans="1:12" s="4" customFormat="1" ht="21" customHeight="1">
      <c r="A67" s="123" t="s">
        <v>66</v>
      </c>
      <c r="B67" s="111" t="s">
        <v>153</v>
      </c>
      <c r="C67" s="111" t="s">
        <v>140</v>
      </c>
      <c r="D67" s="111" t="s">
        <v>153</v>
      </c>
      <c r="E67" s="111" t="s">
        <v>339</v>
      </c>
      <c r="F67" s="111" t="s">
        <v>757</v>
      </c>
      <c r="G67" s="111" t="s">
        <v>67</v>
      </c>
      <c r="H67" s="78">
        <f>'Пр. 11'!I194</f>
        <v>14000</v>
      </c>
      <c r="I67" s="78">
        <f>'Пр. 11'!J194</f>
        <v>14000</v>
      </c>
      <c r="J67" s="113">
        <f t="shared" si="0"/>
        <v>0</v>
      </c>
      <c r="K67" s="78">
        <f>'Пр. 11'!L194</f>
        <v>33.6</v>
      </c>
      <c r="L67" s="78">
        <f>'Пр. 11'!M194</f>
        <v>4874</v>
      </c>
    </row>
    <row r="68" spans="1:12" s="4" customFormat="1" ht="50.25" customHeight="1">
      <c r="A68" s="122" t="s">
        <v>1162</v>
      </c>
      <c r="B68" s="71" t="s">
        <v>153</v>
      </c>
      <c r="C68" s="71" t="s">
        <v>140</v>
      </c>
      <c r="D68" s="71" t="s">
        <v>166</v>
      </c>
      <c r="E68" s="71" t="s">
        <v>156</v>
      </c>
      <c r="F68" s="71"/>
      <c r="G68" s="71"/>
      <c r="H68" s="37">
        <f>H69+H72+H75</f>
        <v>500</v>
      </c>
      <c r="I68" s="37">
        <f>I69+I72+I75</f>
        <v>500</v>
      </c>
      <c r="J68" s="108">
        <f t="shared" si="0"/>
        <v>0</v>
      </c>
      <c r="K68" s="37">
        <f>K69+K72+K75</f>
        <v>822.5</v>
      </c>
      <c r="L68" s="37">
        <f>L69+L72+L75</f>
        <v>4556</v>
      </c>
    </row>
    <row r="69" spans="1:12" s="4" customFormat="1" ht="21" customHeight="1">
      <c r="A69" s="22" t="s">
        <v>971</v>
      </c>
      <c r="B69" s="111" t="s">
        <v>153</v>
      </c>
      <c r="C69" s="111" t="s">
        <v>140</v>
      </c>
      <c r="D69" s="111" t="s">
        <v>166</v>
      </c>
      <c r="E69" s="111" t="s">
        <v>385</v>
      </c>
      <c r="F69" s="111"/>
      <c r="G69" s="112"/>
      <c r="H69" s="78">
        <f>H70</f>
        <v>500</v>
      </c>
      <c r="I69" s="78">
        <f>I70</f>
        <v>500</v>
      </c>
      <c r="J69" s="113">
        <f t="shared" si="0"/>
        <v>0</v>
      </c>
      <c r="K69" s="78">
        <f>K70</f>
        <v>800</v>
      </c>
      <c r="L69" s="78">
        <f>L70</f>
        <v>900</v>
      </c>
    </row>
    <row r="70" spans="1:12" s="4" customFormat="1" ht="39" customHeight="1">
      <c r="A70" s="22" t="s">
        <v>758</v>
      </c>
      <c r="B70" s="111" t="s">
        <v>153</v>
      </c>
      <c r="C70" s="111" t="s">
        <v>140</v>
      </c>
      <c r="D70" s="111" t="s">
        <v>166</v>
      </c>
      <c r="E70" s="111" t="s">
        <v>385</v>
      </c>
      <c r="F70" s="111" t="s">
        <v>757</v>
      </c>
      <c r="G70" s="112"/>
      <c r="H70" s="78">
        <f>H71</f>
        <v>500</v>
      </c>
      <c r="I70" s="78">
        <f>I71</f>
        <v>500</v>
      </c>
      <c r="J70" s="113">
        <f t="shared" si="0"/>
        <v>0</v>
      </c>
      <c r="K70" s="78">
        <f>K71</f>
        <v>800</v>
      </c>
      <c r="L70" s="78">
        <f>L71</f>
        <v>900</v>
      </c>
    </row>
    <row r="71" spans="1:12" s="4" customFormat="1" ht="22.5" customHeight="1">
      <c r="A71" s="22" t="s">
        <v>68</v>
      </c>
      <c r="B71" s="111" t="s">
        <v>153</v>
      </c>
      <c r="C71" s="111" t="s">
        <v>140</v>
      </c>
      <c r="D71" s="111" t="s">
        <v>166</v>
      </c>
      <c r="E71" s="111" t="s">
        <v>385</v>
      </c>
      <c r="F71" s="111" t="s">
        <v>757</v>
      </c>
      <c r="G71" s="112" t="s">
        <v>69</v>
      </c>
      <c r="H71" s="78">
        <f>'Пр. 11'!I729</f>
        <v>500</v>
      </c>
      <c r="I71" s="78">
        <f>'Пр. 11'!J729</f>
        <v>500</v>
      </c>
      <c r="J71" s="113">
        <f t="shared" si="0"/>
        <v>0</v>
      </c>
      <c r="K71" s="78">
        <f>'Пр. 11'!L729</f>
        <v>800</v>
      </c>
      <c r="L71" s="78">
        <f>'Пр. 11'!M729</f>
        <v>900</v>
      </c>
    </row>
    <row r="72" spans="1:12" s="4" customFormat="1" ht="40.5" customHeight="1">
      <c r="A72" s="22" t="s">
        <v>976</v>
      </c>
      <c r="B72" s="111" t="s">
        <v>153</v>
      </c>
      <c r="C72" s="111" t="s">
        <v>140</v>
      </c>
      <c r="D72" s="111" t="s">
        <v>166</v>
      </c>
      <c r="E72" s="111" t="s">
        <v>977</v>
      </c>
      <c r="F72" s="111"/>
      <c r="G72" s="111"/>
      <c r="H72" s="78">
        <f>H73</f>
        <v>0</v>
      </c>
      <c r="I72" s="78">
        <f>I73</f>
        <v>0</v>
      </c>
      <c r="J72" s="113">
        <f t="shared" si="0"/>
        <v>0</v>
      </c>
      <c r="K72" s="78">
        <f>K73</f>
        <v>0</v>
      </c>
      <c r="L72" s="78">
        <f>L73</f>
        <v>3633.5</v>
      </c>
    </row>
    <row r="73" spans="1:12" s="4" customFormat="1" ht="30.75" customHeight="1">
      <c r="A73" s="123" t="s">
        <v>758</v>
      </c>
      <c r="B73" s="111" t="s">
        <v>153</v>
      </c>
      <c r="C73" s="111" t="s">
        <v>140</v>
      </c>
      <c r="D73" s="111" t="s">
        <v>166</v>
      </c>
      <c r="E73" s="111" t="s">
        <v>977</v>
      </c>
      <c r="F73" s="111" t="s">
        <v>757</v>
      </c>
      <c r="G73" s="111"/>
      <c r="H73" s="78">
        <f>H74</f>
        <v>0</v>
      </c>
      <c r="I73" s="78">
        <f>I74</f>
        <v>0</v>
      </c>
      <c r="J73" s="113">
        <f t="shared" si="0"/>
        <v>0</v>
      </c>
      <c r="K73" s="78">
        <f>K74</f>
        <v>0</v>
      </c>
      <c r="L73" s="78">
        <f>L74</f>
        <v>3633.5</v>
      </c>
    </row>
    <row r="74" spans="1:12" s="4" customFormat="1" ht="21" customHeight="1">
      <c r="A74" s="22" t="s">
        <v>68</v>
      </c>
      <c r="B74" s="111" t="s">
        <v>153</v>
      </c>
      <c r="C74" s="111" t="s">
        <v>140</v>
      </c>
      <c r="D74" s="111" t="s">
        <v>166</v>
      </c>
      <c r="E74" s="111" t="s">
        <v>977</v>
      </c>
      <c r="F74" s="111" t="s">
        <v>757</v>
      </c>
      <c r="G74" s="111" t="s">
        <v>69</v>
      </c>
      <c r="H74" s="78">
        <f>'Пр. 11'!I211</f>
        <v>0</v>
      </c>
      <c r="I74" s="78">
        <f>'Пр. 11'!J211</f>
        <v>0</v>
      </c>
      <c r="J74" s="113">
        <f t="shared" si="0"/>
        <v>0</v>
      </c>
      <c r="K74" s="78">
        <f>'Пр. 11'!L211</f>
        <v>0</v>
      </c>
      <c r="L74" s="78">
        <f>'Пр. 11'!M211</f>
        <v>3633.5</v>
      </c>
    </row>
    <row r="75" spans="1:12" s="4" customFormat="1" ht="35.25" customHeight="1">
      <c r="A75" s="123" t="s">
        <v>1143</v>
      </c>
      <c r="B75" s="111" t="s">
        <v>153</v>
      </c>
      <c r="C75" s="111" t="s">
        <v>140</v>
      </c>
      <c r="D75" s="111" t="s">
        <v>166</v>
      </c>
      <c r="E75" s="111" t="s">
        <v>670</v>
      </c>
      <c r="F75" s="111"/>
      <c r="G75" s="111"/>
      <c r="H75" s="78">
        <f>H76</f>
        <v>0</v>
      </c>
      <c r="I75" s="78">
        <f>I76</f>
        <v>0</v>
      </c>
      <c r="J75" s="113">
        <f t="shared" si="0"/>
        <v>0</v>
      </c>
      <c r="K75" s="78">
        <f>K76</f>
        <v>22.5</v>
      </c>
      <c r="L75" s="78">
        <f>L76</f>
        <v>22.5</v>
      </c>
    </row>
    <row r="76" spans="1:12" s="4" customFormat="1" ht="35.25" customHeight="1">
      <c r="A76" s="123" t="s">
        <v>758</v>
      </c>
      <c r="B76" s="111" t="s">
        <v>153</v>
      </c>
      <c r="C76" s="111" t="s">
        <v>140</v>
      </c>
      <c r="D76" s="111" t="s">
        <v>166</v>
      </c>
      <c r="E76" s="111" t="s">
        <v>670</v>
      </c>
      <c r="F76" s="111" t="s">
        <v>757</v>
      </c>
      <c r="G76" s="111"/>
      <c r="H76" s="78">
        <f>H77</f>
        <v>0</v>
      </c>
      <c r="I76" s="78">
        <f>I77</f>
        <v>0</v>
      </c>
      <c r="J76" s="113">
        <f t="shared" si="0"/>
        <v>0</v>
      </c>
      <c r="K76" s="78">
        <f>K77</f>
        <v>22.5</v>
      </c>
      <c r="L76" s="78">
        <f>L77</f>
        <v>22.5</v>
      </c>
    </row>
    <row r="77" spans="1:12" s="4" customFormat="1" ht="21" customHeight="1">
      <c r="A77" s="22" t="s">
        <v>68</v>
      </c>
      <c r="B77" s="111" t="s">
        <v>153</v>
      </c>
      <c r="C77" s="111" t="s">
        <v>140</v>
      </c>
      <c r="D77" s="111" t="s">
        <v>166</v>
      </c>
      <c r="E77" s="111" t="s">
        <v>670</v>
      </c>
      <c r="F77" s="111" t="s">
        <v>757</v>
      </c>
      <c r="G77" s="111" t="s">
        <v>69</v>
      </c>
      <c r="H77" s="78">
        <f>'Пр. 11'!I213</f>
        <v>0</v>
      </c>
      <c r="I77" s="78">
        <f>'Пр. 11'!J213</f>
        <v>0</v>
      </c>
      <c r="J77" s="113">
        <f t="shared" si="0"/>
        <v>0</v>
      </c>
      <c r="K77" s="78">
        <f>'Пр. 11'!L213</f>
        <v>22.5</v>
      </c>
      <c r="L77" s="78">
        <f>'Пр. 11'!M213</f>
        <v>22.5</v>
      </c>
    </row>
    <row r="78" spans="1:12" s="3" customFormat="1" ht="57" customHeight="1">
      <c r="A78" s="122" t="s">
        <v>165</v>
      </c>
      <c r="B78" s="71" t="s">
        <v>166</v>
      </c>
      <c r="C78" s="71" t="s">
        <v>154</v>
      </c>
      <c r="D78" s="71" t="s">
        <v>155</v>
      </c>
      <c r="E78" s="71" t="s">
        <v>156</v>
      </c>
      <c r="F78" s="71"/>
      <c r="G78" s="107"/>
      <c r="H78" s="37">
        <f>H79</f>
        <v>44315.7</v>
      </c>
      <c r="I78" s="37">
        <f>I79</f>
        <v>44315.7</v>
      </c>
      <c r="J78" s="108">
        <f t="shared" si="0"/>
        <v>0</v>
      </c>
      <c r="K78" s="37">
        <f>K79</f>
        <v>34190.1</v>
      </c>
      <c r="L78" s="37">
        <f>L79</f>
        <v>33167.899999999994</v>
      </c>
    </row>
    <row r="79" spans="1:12" s="11" customFormat="1" ht="24.75" customHeight="1">
      <c r="A79" s="122" t="s">
        <v>890</v>
      </c>
      <c r="B79" s="71" t="s">
        <v>166</v>
      </c>
      <c r="C79" s="71" t="s">
        <v>154</v>
      </c>
      <c r="D79" s="71" t="s">
        <v>166</v>
      </c>
      <c r="E79" s="71" t="s">
        <v>156</v>
      </c>
      <c r="F79" s="71"/>
      <c r="G79" s="107"/>
      <c r="H79" s="37">
        <f>H80+H83+H86+H91+H96+H101+H106+H109+H112</f>
        <v>44315.7</v>
      </c>
      <c r="I79" s="37">
        <f>I80+I83+I86+I91+I96+I101+I106+I109+I112</f>
        <v>44315.7</v>
      </c>
      <c r="J79" s="108">
        <f t="shared" si="0"/>
        <v>0</v>
      </c>
      <c r="K79" s="37">
        <f>K80+K83+K86+K91+K96+K101+K106+K109+K112</f>
        <v>34190.1</v>
      </c>
      <c r="L79" s="37">
        <f>L80+L83+L86+L91+L96+L101+L106+L109+L112</f>
        <v>33167.899999999994</v>
      </c>
    </row>
    <row r="80" spans="1:12" s="4" customFormat="1" ht="91.5" customHeight="1">
      <c r="A80" s="115" t="s">
        <v>1142</v>
      </c>
      <c r="B80" s="111" t="s">
        <v>166</v>
      </c>
      <c r="C80" s="111" t="s">
        <v>154</v>
      </c>
      <c r="D80" s="111" t="s">
        <v>166</v>
      </c>
      <c r="E80" s="111" t="s">
        <v>167</v>
      </c>
      <c r="F80" s="111"/>
      <c r="G80" s="112"/>
      <c r="H80" s="78">
        <f>H81</f>
        <v>7010.6</v>
      </c>
      <c r="I80" s="78">
        <f>I81</f>
        <v>7010.6</v>
      </c>
      <c r="J80" s="113">
        <f t="shared" si="0"/>
        <v>0</v>
      </c>
      <c r="K80" s="78">
        <f>K81</f>
        <v>0</v>
      </c>
      <c r="L80" s="78">
        <f>L81</f>
        <v>0</v>
      </c>
    </row>
    <row r="81" spans="1:12" s="4" customFormat="1" ht="22.5" customHeight="1">
      <c r="A81" s="115" t="s">
        <v>762</v>
      </c>
      <c r="B81" s="111" t="s">
        <v>166</v>
      </c>
      <c r="C81" s="111" t="s">
        <v>154</v>
      </c>
      <c r="D81" s="111" t="s">
        <v>166</v>
      </c>
      <c r="E81" s="111" t="s">
        <v>167</v>
      </c>
      <c r="F81" s="111" t="s">
        <v>761</v>
      </c>
      <c r="G81" s="112"/>
      <c r="H81" s="78">
        <f>H82</f>
        <v>7010.6</v>
      </c>
      <c r="I81" s="78">
        <f>I82</f>
        <v>7010.6</v>
      </c>
      <c r="J81" s="113">
        <f t="shared" si="0"/>
        <v>0</v>
      </c>
      <c r="K81" s="78">
        <f>K82</f>
        <v>0</v>
      </c>
      <c r="L81" s="78">
        <f>L82</f>
        <v>0</v>
      </c>
    </row>
    <row r="82" spans="1:12" s="4" customFormat="1" ht="19.5" customHeight="1">
      <c r="A82" s="115" t="s">
        <v>112</v>
      </c>
      <c r="B82" s="111" t="s">
        <v>166</v>
      </c>
      <c r="C82" s="111" t="s">
        <v>154</v>
      </c>
      <c r="D82" s="111" t="s">
        <v>166</v>
      </c>
      <c r="E82" s="111" t="s">
        <v>167</v>
      </c>
      <c r="F82" s="111" t="s">
        <v>761</v>
      </c>
      <c r="G82" s="112" t="s">
        <v>113</v>
      </c>
      <c r="H82" s="78">
        <f>'Пр. 11'!I408</f>
        <v>7010.6</v>
      </c>
      <c r="I82" s="78">
        <f>'Пр. 11'!J408</f>
        <v>7010.6</v>
      </c>
      <c r="J82" s="113">
        <f t="shared" si="0"/>
        <v>0</v>
      </c>
      <c r="K82" s="78">
        <f>'Пр. 11'!L408</f>
        <v>0</v>
      </c>
      <c r="L82" s="78">
        <f>'Пр. 11'!M408</f>
        <v>0</v>
      </c>
    </row>
    <row r="83" spans="1:12" s="4" customFormat="1" ht="35.25" customHeight="1" hidden="1">
      <c r="A83" s="115" t="s">
        <v>168</v>
      </c>
      <c r="B83" s="111" t="s">
        <v>166</v>
      </c>
      <c r="C83" s="111" t="s">
        <v>154</v>
      </c>
      <c r="D83" s="111" t="s">
        <v>166</v>
      </c>
      <c r="E83" s="111" t="s">
        <v>169</v>
      </c>
      <c r="F83" s="111"/>
      <c r="G83" s="112"/>
      <c r="H83" s="78">
        <f>H84</f>
        <v>0</v>
      </c>
      <c r="I83" s="78">
        <f>I84</f>
        <v>0</v>
      </c>
      <c r="J83" s="113">
        <f aca="true" t="shared" si="2" ref="J83:J181">I83-H83</f>
        <v>0</v>
      </c>
      <c r="K83" s="131">
        <f>K84</f>
        <v>0</v>
      </c>
      <c r="L83" s="131">
        <f>L84</f>
        <v>0</v>
      </c>
    </row>
    <row r="84" spans="1:12" s="4" customFormat="1" ht="26.25" customHeight="1" hidden="1">
      <c r="A84" s="115" t="s">
        <v>762</v>
      </c>
      <c r="B84" s="111" t="s">
        <v>166</v>
      </c>
      <c r="C84" s="111" t="s">
        <v>154</v>
      </c>
      <c r="D84" s="111" t="s">
        <v>166</v>
      </c>
      <c r="E84" s="111" t="s">
        <v>169</v>
      </c>
      <c r="F84" s="111" t="s">
        <v>761</v>
      </c>
      <c r="G84" s="112"/>
      <c r="H84" s="78">
        <f>H85</f>
        <v>0</v>
      </c>
      <c r="I84" s="78">
        <f>I85</f>
        <v>0</v>
      </c>
      <c r="J84" s="113">
        <f t="shared" si="2"/>
        <v>0</v>
      </c>
      <c r="K84" s="131">
        <f>K85</f>
        <v>0</v>
      </c>
      <c r="L84" s="131">
        <f>L85</f>
        <v>0</v>
      </c>
    </row>
    <row r="85" spans="1:12" s="4" customFormat="1" ht="27.75" customHeight="1" hidden="1">
      <c r="A85" s="115" t="s">
        <v>112</v>
      </c>
      <c r="B85" s="111" t="s">
        <v>166</v>
      </c>
      <c r="C85" s="111" t="s">
        <v>154</v>
      </c>
      <c r="D85" s="111" t="s">
        <v>166</v>
      </c>
      <c r="E85" s="111" t="s">
        <v>169</v>
      </c>
      <c r="F85" s="111" t="s">
        <v>761</v>
      </c>
      <c r="G85" s="112" t="s">
        <v>113</v>
      </c>
      <c r="H85" s="78">
        <f>'Пр. 11'!I410</f>
        <v>0</v>
      </c>
      <c r="I85" s="78">
        <f>'Пр. 11'!J410</f>
        <v>0</v>
      </c>
      <c r="J85" s="113">
        <f t="shared" si="2"/>
        <v>0</v>
      </c>
      <c r="K85" s="78">
        <f>'Пр. 11'!L410</f>
        <v>0</v>
      </c>
      <c r="L85" s="78">
        <f>'Пр. 11'!M410</f>
        <v>0</v>
      </c>
    </row>
    <row r="86" spans="1:12" s="5" customFormat="1" ht="52.5" customHeight="1" hidden="1">
      <c r="A86" s="115" t="s">
        <v>952</v>
      </c>
      <c r="B86" s="111" t="s">
        <v>166</v>
      </c>
      <c r="C86" s="111" t="s">
        <v>154</v>
      </c>
      <c r="D86" s="111" t="s">
        <v>166</v>
      </c>
      <c r="E86" s="111" t="s">
        <v>170</v>
      </c>
      <c r="F86" s="111"/>
      <c r="G86" s="112"/>
      <c r="H86" s="78">
        <f>H87+H89</f>
        <v>0</v>
      </c>
      <c r="I86" s="78">
        <f>I87+I89</f>
        <v>0</v>
      </c>
      <c r="J86" s="113">
        <f t="shared" si="2"/>
        <v>0</v>
      </c>
      <c r="K86" s="78">
        <f>K87+K89</f>
        <v>0</v>
      </c>
      <c r="L86" s="78">
        <f>L87+L89</f>
        <v>0</v>
      </c>
    </row>
    <row r="87" spans="1:12" s="5" customFormat="1" ht="21" customHeight="1" hidden="1">
      <c r="A87" s="115" t="s">
        <v>762</v>
      </c>
      <c r="B87" s="111" t="s">
        <v>166</v>
      </c>
      <c r="C87" s="111" t="s">
        <v>154</v>
      </c>
      <c r="D87" s="111" t="s">
        <v>166</v>
      </c>
      <c r="E87" s="111" t="s">
        <v>170</v>
      </c>
      <c r="F87" s="111" t="s">
        <v>761</v>
      </c>
      <c r="G87" s="112"/>
      <c r="H87" s="78">
        <f>H88</f>
        <v>0</v>
      </c>
      <c r="I87" s="78">
        <f>I88</f>
        <v>0</v>
      </c>
      <c r="J87" s="113">
        <f t="shared" si="2"/>
        <v>0</v>
      </c>
      <c r="K87" s="131">
        <f>K88</f>
        <v>0</v>
      </c>
      <c r="L87" s="131">
        <f>L88</f>
        <v>0</v>
      </c>
    </row>
    <row r="88" spans="1:12" s="5" customFormat="1" ht="24.75" customHeight="1" hidden="1">
      <c r="A88" s="22" t="s">
        <v>112</v>
      </c>
      <c r="B88" s="111" t="s">
        <v>166</v>
      </c>
      <c r="C88" s="111" t="s">
        <v>154</v>
      </c>
      <c r="D88" s="111" t="s">
        <v>166</v>
      </c>
      <c r="E88" s="111" t="s">
        <v>170</v>
      </c>
      <c r="F88" s="111" t="s">
        <v>761</v>
      </c>
      <c r="G88" s="112" t="s">
        <v>113</v>
      </c>
      <c r="H88" s="78">
        <f>'Пр. 11'!I412</f>
        <v>0</v>
      </c>
      <c r="I88" s="78">
        <f>'Пр. 11'!J412</f>
        <v>0</v>
      </c>
      <c r="J88" s="113">
        <f t="shared" si="2"/>
        <v>0</v>
      </c>
      <c r="K88" s="78">
        <f>'Пр. 11'!L412</f>
        <v>0</v>
      </c>
      <c r="L88" s="78">
        <f>'Пр. 11'!M412</f>
        <v>0</v>
      </c>
    </row>
    <row r="89" spans="1:12" s="5" customFormat="1" ht="34.5" customHeight="1" hidden="1">
      <c r="A89" s="115" t="s">
        <v>771</v>
      </c>
      <c r="B89" s="111" t="s">
        <v>166</v>
      </c>
      <c r="C89" s="111" t="s">
        <v>154</v>
      </c>
      <c r="D89" s="111" t="s">
        <v>166</v>
      </c>
      <c r="E89" s="111" t="s">
        <v>170</v>
      </c>
      <c r="F89" s="111" t="s">
        <v>768</v>
      </c>
      <c r="G89" s="112"/>
      <c r="H89" s="78">
        <f>H90</f>
        <v>0</v>
      </c>
      <c r="I89" s="78">
        <f>I90</f>
        <v>0</v>
      </c>
      <c r="J89" s="113">
        <f t="shared" si="2"/>
        <v>0</v>
      </c>
      <c r="K89" s="131">
        <f>K90</f>
        <v>0</v>
      </c>
      <c r="L89" s="131">
        <f>L90</f>
        <v>0</v>
      </c>
    </row>
    <row r="90" spans="1:12" s="5" customFormat="1" ht="24" customHeight="1" hidden="1">
      <c r="A90" s="22" t="s">
        <v>112</v>
      </c>
      <c r="B90" s="111" t="s">
        <v>166</v>
      </c>
      <c r="C90" s="111" t="s">
        <v>154</v>
      </c>
      <c r="D90" s="111" t="s">
        <v>166</v>
      </c>
      <c r="E90" s="111" t="s">
        <v>170</v>
      </c>
      <c r="F90" s="111" t="s">
        <v>768</v>
      </c>
      <c r="G90" s="112" t="s">
        <v>113</v>
      </c>
      <c r="H90" s="78">
        <f>'Пр. 11'!I413</f>
        <v>0</v>
      </c>
      <c r="I90" s="78">
        <f>'Пр. 11'!J413</f>
        <v>0</v>
      </c>
      <c r="J90" s="113">
        <f t="shared" si="2"/>
        <v>0</v>
      </c>
      <c r="K90" s="78">
        <f>'Пр. 11'!L413</f>
        <v>0</v>
      </c>
      <c r="L90" s="78">
        <f>'Пр. 11'!M413</f>
        <v>0</v>
      </c>
    </row>
    <row r="91" spans="1:12" s="5" customFormat="1" ht="63.75" customHeight="1">
      <c r="A91" s="124" t="s">
        <v>843</v>
      </c>
      <c r="B91" s="111" t="s">
        <v>166</v>
      </c>
      <c r="C91" s="111" t="s">
        <v>154</v>
      </c>
      <c r="D91" s="111" t="s">
        <v>166</v>
      </c>
      <c r="E91" s="111" t="s">
        <v>844</v>
      </c>
      <c r="F91" s="111"/>
      <c r="G91" s="112"/>
      <c r="H91" s="78">
        <f>H92+H94</f>
        <v>0</v>
      </c>
      <c r="I91" s="78">
        <f>I92+I94</f>
        <v>0</v>
      </c>
      <c r="J91" s="113">
        <f t="shared" si="2"/>
        <v>0</v>
      </c>
      <c r="K91" s="78">
        <f>K92+K94</f>
        <v>3040.2</v>
      </c>
      <c r="L91" s="78">
        <f>L92+L94</f>
        <v>2018</v>
      </c>
    </row>
    <row r="92" spans="1:12" s="5" customFormat="1" ht="21" customHeight="1" hidden="1">
      <c r="A92" s="124" t="s">
        <v>762</v>
      </c>
      <c r="B92" s="111" t="s">
        <v>166</v>
      </c>
      <c r="C92" s="111" t="s">
        <v>154</v>
      </c>
      <c r="D92" s="111" t="s">
        <v>166</v>
      </c>
      <c r="E92" s="111" t="s">
        <v>844</v>
      </c>
      <c r="F92" s="111" t="s">
        <v>761</v>
      </c>
      <c r="G92" s="112"/>
      <c r="H92" s="78">
        <f>H93</f>
        <v>0</v>
      </c>
      <c r="I92" s="78">
        <f>I93</f>
        <v>0</v>
      </c>
      <c r="J92" s="113">
        <f t="shared" si="2"/>
        <v>0</v>
      </c>
      <c r="K92" s="78">
        <f>K93</f>
        <v>0</v>
      </c>
      <c r="L92" s="78">
        <f>L93</f>
        <v>0</v>
      </c>
    </row>
    <row r="93" spans="1:12" s="5" customFormat="1" ht="20.25" customHeight="1" hidden="1">
      <c r="A93" s="22" t="s">
        <v>112</v>
      </c>
      <c r="B93" s="111" t="s">
        <v>166</v>
      </c>
      <c r="C93" s="111" t="s">
        <v>154</v>
      </c>
      <c r="D93" s="111" t="s">
        <v>166</v>
      </c>
      <c r="E93" s="111" t="s">
        <v>844</v>
      </c>
      <c r="F93" s="111" t="s">
        <v>761</v>
      </c>
      <c r="G93" s="112" t="s">
        <v>113</v>
      </c>
      <c r="H93" s="78">
        <f>'Пр. 11'!I415</f>
        <v>0</v>
      </c>
      <c r="I93" s="78">
        <f>'Пр. 11'!J415</f>
        <v>0</v>
      </c>
      <c r="J93" s="113">
        <f t="shared" si="2"/>
        <v>0</v>
      </c>
      <c r="K93" s="78">
        <f>'Пр. 11'!L415</f>
        <v>0</v>
      </c>
      <c r="L93" s="78">
        <f>'Пр. 11'!M415</f>
        <v>0</v>
      </c>
    </row>
    <row r="94" spans="1:12" s="5" customFormat="1" ht="36" customHeight="1">
      <c r="A94" s="84" t="s">
        <v>769</v>
      </c>
      <c r="B94" s="111" t="s">
        <v>166</v>
      </c>
      <c r="C94" s="111" t="s">
        <v>154</v>
      </c>
      <c r="D94" s="111" t="s">
        <v>166</v>
      </c>
      <c r="E94" s="111" t="s">
        <v>844</v>
      </c>
      <c r="F94" s="111" t="s">
        <v>768</v>
      </c>
      <c r="G94" s="112"/>
      <c r="H94" s="78">
        <f>H95</f>
        <v>0</v>
      </c>
      <c r="I94" s="78">
        <f>I95</f>
        <v>0</v>
      </c>
      <c r="J94" s="113">
        <f t="shared" si="2"/>
        <v>0</v>
      </c>
      <c r="K94" s="78">
        <f>K95</f>
        <v>3040.2</v>
      </c>
      <c r="L94" s="78">
        <f>L95</f>
        <v>2018</v>
      </c>
    </row>
    <row r="95" spans="1:12" s="5" customFormat="1" ht="20.25" customHeight="1">
      <c r="A95" s="22" t="s">
        <v>112</v>
      </c>
      <c r="B95" s="111" t="s">
        <v>166</v>
      </c>
      <c r="C95" s="111" t="s">
        <v>154</v>
      </c>
      <c r="D95" s="111" t="s">
        <v>166</v>
      </c>
      <c r="E95" s="111" t="s">
        <v>844</v>
      </c>
      <c r="F95" s="111" t="s">
        <v>768</v>
      </c>
      <c r="G95" s="112" t="s">
        <v>113</v>
      </c>
      <c r="H95" s="78">
        <f>'Пр. 11'!I416</f>
        <v>0</v>
      </c>
      <c r="I95" s="78">
        <f>'Пр. 11'!J416</f>
        <v>0</v>
      </c>
      <c r="J95" s="113">
        <f t="shared" si="2"/>
        <v>0</v>
      </c>
      <c r="K95" s="78">
        <f>'Пр. 11'!L416</f>
        <v>3040.2</v>
      </c>
      <c r="L95" s="78">
        <f>'Пр. 11'!M416</f>
        <v>2018</v>
      </c>
    </row>
    <row r="96" spans="1:12" s="5" customFormat="1" ht="40.5" customHeight="1" hidden="1">
      <c r="A96" s="125" t="s">
        <v>969</v>
      </c>
      <c r="B96" s="111" t="s">
        <v>166</v>
      </c>
      <c r="C96" s="111" t="s">
        <v>154</v>
      </c>
      <c r="D96" s="111" t="s">
        <v>166</v>
      </c>
      <c r="E96" s="111" t="s">
        <v>171</v>
      </c>
      <c r="F96" s="111"/>
      <c r="G96" s="112"/>
      <c r="H96" s="78">
        <f>H97+H99</f>
        <v>0</v>
      </c>
      <c r="I96" s="78">
        <f>I97+I99</f>
        <v>0</v>
      </c>
      <c r="J96" s="113">
        <f t="shared" si="2"/>
        <v>0</v>
      </c>
      <c r="K96" s="131">
        <f>K97</f>
        <v>0</v>
      </c>
      <c r="L96" s="131">
        <f>L97</f>
        <v>0</v>
      </c>
    </row>
    <row r="97" spans="1:12" s="5" customFormat="1" ht="22.5" customHeight="1" hidden="1">
      <c r="A97" s="115" t="s">
        <v>762</v>
      </c>
      <c r="B97" s="111" t="s">
        <v>166</v>
      </c>
      <c r="C97" s="111" t="s">
        <v>154</v>
      </c>
      <c r="D97" s="111" t="s">
        <v>166</v>
      </c>
      <c r="E97" s="111" t="s">
        <v>171</v>
      </c>
      <c r="F97" s="111" t="s">
        <v>761</v>
      </c>
      <c r="G97" s="112"/>
      <c r="H97" s="78">
        <f>H98</f>
        <v>0</v>
      </c>
      <c r="I97" s="78">
        <f>I98</f>
        <v>0</v>
      </c>
      <c r="J97" s="113">
        <f t="shared" si="2"/>
        <v>0</v>
      </c>
      <c r="K97" s="131">
        <f>K98</f>
        <v>0</v>
      </c>
      <c r="L97" s="131">
        <f>L98</f>
        <v>0</v>
      </c>
    </row>
    <row r="98" spans="1:12" s="5" customFormat="1" ht="24.75" customHeight="1" hidden="1">
      <c r="A98" s="22" t="s">
        <v>112</v>
      </c>
      <c r="B98" s="111" t="s">
        <v>166</v>
      </c>
      <c r="C98" s="111" t="s">
        <v>154</v>
      </c>
      <c r="D98" s="111" t="s">
        <v>166</v>
      </c>
      <c r="E98" s="111" t="s">
        <v>171</v>
      </c>
      <c r="F98" s="111" t="s">
        <v>761</v>
      </c>
      <c r="G98" s="112" t="s">
        <v>113</v>
      </c>
      <c r="H98" s="78">
        <f>'Пр. 11'!I418</f>
        <v>0</v>
      </c>
      <c r="I98" s="78">
        <f>'Пр. 11'!J418</f>
        <v>0</v>
      </c>
      <c r="J98" s="113">
        <f t="shared" si="2"/>
        <v>0</v>
      </c>
      <c r="K98" s="78">
        <f>'Пр. 11'!L418</f>
        <v>0</v>
      </c>
      <c r="L98" s="78">
        <f>'Пр. 11'!M418</f>
        <v>0</v>
      </c>
    </row>
    <row r="99" spans="1:12" s="5" customFormat="1" ht="38.25" customHeight="1" hidden="1">
      <c r="A99" s="115" t="s">
        <v>771</v>
      </c>
      <c r="B99" s="111" t="s">
        <v>166</v>
      </c>
      <c r="C99" s="111" t="s">
        <v>154</v>
      </c>
      <c r="D99" s="111" t="s">
        <v>166</v>
      </c>
      <c r="E99" s="111" t="s">
        <v>171</v>
      </c>
      <c r="F99" s="111" t="s">
        <v>768</v>
      </c>
      <c r="G99" s="112"/>
      <c r="H99" s="78">
        <f>H100</f>
        <v>0</v>
      </c>
      <c r="I99" s="78">
        <f>I100</f>
        <v>0</v>
      </c>
      <c r="J99" s="113">
        <f t="shared" si="2"/>
        <v>0</v>
      </c>
      <c r="K99" s="131">
        <f>K100</f>
        <v>0</v>
      </c>
      <c r="L99" s="131">
        <f>L100</f>
        <v>0</v>
      </c>
    </row>
    <row r="100" spans="1:12" s="5" customFormat="1" ht="20.25" customHeight="1" hidden="1">
      <c r="A100" s="22" t="s">
        <v>112</v>
      </c>
      <c r="B100" s="111" t="s">
        <v>166</v>
      </c>
      <c r="C100" s="111" t="s">
        <v>154</v>
      </c>
      <c r="D100" s="111" t="s">
        <v>166</v>
      </c>
      <c r="E100" s="111" t="s">
        <v>171</v>
      </c>
      <c r="F100" s="111" t="s">
        <v>768</v>
      </c>
      <c r="G100" s="112" t="s">
        <v>113</v>
      </c>
      <c r="H100" s="78">
        <f>'Пр. 11'!I419</f>
        <v>0</v>
      </c>
      <c r="I100" s="78">
        <f>'Пр. 11'!J419</f>
        <v>0</v>
      </c>
      <c r="J100" s="113">
        <f t="shared" si="2"/>
        <v>0</v>
      </c>
      <c r="K100" s="78">
        <f>'Пр. 11'!L419</f>
        <v>0</v>
      </c>
      <c r="L100" s="78">
        <f>'Пр. 11'!M419</f>
        <v>0</v>
      </c>
    </row>
    <row r="101" spans="1:12" s="4" customFormat="1" ht="17.25" customHeight="1">
      <c r="A101" s="115" t="s">
        <v>172</v>
      </c>
      <c r="B101" s="111" t="s">
        <v>166</v>
      </c>
      <c r="C101" s="111" t="s">
        <v>154</v>
      </c>
      <c r="D101" s="111" t="s">
        <v>166</v>
      </c>
      <c r="E101" s="111" t="s">
        <v>173</v>
      </c>
      <c r="F101" s="111"/>
      <c r="G101" s="112"/>
      <c r="H101" s="78">
        <f>H102+H104</f>
        <v>353</v>
      </c>
      <c r="I101" s="78">
        <f>I102+I104</f>
        <v>353</v>
      </c>
      <c r="J101" s="113">
        <f t="shared" si="2"/>
        <v>0</v>
      </c>
      <c r="K101" s="78">
        <f>K102+K104</f>
        <v>353</v>
      </c>
      <c r="L101" s="78">
        <f>L102+L104</f>
        <v>353</v>
      </c>
    </row>
    <row r="102" spans="1:12" s="4" customFormat="1" ht="68.25" customHeight="1">
      <c r="A102" s="22" t="s">
        <v>755</v>
      </c>
      <c r="B102" s="111" t="s">
        <v>166</v>
      </c>
      <c r="C102" s="111" t="s">
        <v>154</v>
      </c>
      <c r="D102" s="111" t="s">
        <v>166</v>
      </c>
      <c r="E102" s="111" t="s">
        <v>173</v>
      </c>
      <c r="F102" s="111" t="s">
        <v>756</v>
      </c>
      <c r="G102" s="112"/>
      <c r="H102" s="78">
        <f>H103</f>
        <v>341</v>
      </c>
      <c r="I102" s="78">
        <f>I103</f>
        <v>341</v>
      </c>
      <c r="J102" s="113">
        <f t="shared" si="2"/>
        <v>0</v>
      </c>
      <c r="K102" s="78">
        <f>K103</f>
        <v>341</v>
      </c>
      <c r="L102" s="78">
        <f>L103</f>
        <v>341</v>
      </c>
    </row>
    <row r="103" spans="1:12" s="4" customFormat="1" ht="48" customHeight="1">
      <c r="A103" s="22" t="s">
        <v>174</v>
      </c>
      <c r="B103" s="111" t="s">
        <v>166</v>
      </c>
      <c r="C103" s="111" t="s">
        <v>154</v>
      </c>
      <c r="D103" s="111" t="s">
        <v>166</v>
      </c>
      <c r="E103" s="111" t="s">
        <v>173</v>
      </c>
      <c r="F103" s="111" t="s">
        <v>756</v>
      </c>
      <c r="G103" s="112" t="s">
        <v>49</v>
      </c>
      <c r="H103" s="78">
        <f>'Пр. 11'!I19</f>
        <v>341</v>
      </c>
      <c r="I103" s="78">
        <f>'Пр. 11'!J19</f>
        <v>341</v>
      </c>
      <c r="J103" s="113">
        <f t="shared" si="2"/>
        <v>0</v>
      </c>
      <c r="K103" s="78">
        <f>'Пр. 11'!L19</f>
        <v>341</v>
      </c>
      <c r="L103" s="78">
        <f>'Пр. 11'!M19</f>
        <v>341</v>
      </c>
    </row>
    <row r="104" spans="1:12" s="4" customFormat="1" ht="31.5" customHeight="1">
      <c r="A104" s="119" t="s">
        <v>758</v>
      </c>
      <c r="B104" s="111" t="s">
        <v>166</v>
      </c>
      <c r="C104" s="111" t="s">
        <v>154</v>
      </c>
      <c r="D104" s="111" t="s">
        <v>166</v>
      </c>
      <c r="E104" s="111" t="s">
        <v>173</v>
      </c>
      <c r="F104" s="111" t="s">
        <v>757</v>
      </c>
      <c r="G104" s="112"/>
      <c r="H104" s="78">
        <f>H105</f>
        <v>12</v>
      </c>
      <c r="I104" s="78">
        <f>I105</f>
        <v>12</v>
      </c>
      <c r="J104" s="113">
        <f t="shared" si="2"/>
        <v>0</v>
      </c>
      <c r="K104" s="78">
        <f>K105</f>
        <v>12</v>
      </c>
      <c r="L104" s="78">
        <f>L105</f>
        <v>12</v>
      </c>
    </row>
    <row r="105" spans="1:12" s="4" customFormat="1" ht="48" customHeight="1">
      <c r="A105" s="22" t="s">
        <v>174</v>
      </c>
      <c r="B105" s="111" t="s">
        <v>166</v>
      </c>
      <c r="C105" s="111" t="s">
        <v>154</v>
      </c>
      <c r="D105" s="111" t="s">
        <v>166</v>
      </c>
      <c r="E105" s="111" t="s">
        <v>173</v>
      </c>
      <c r="F105" s="111" t="s">
        <v>757</v>
      </c>
      <c r="G105" s="112" t="s">
        <v>49</v>
      </c>
      <c r="H105" s="78">
        <f>'Пр. 11'!I20</f>
        <v>12</v>
      </c>
      <c r="I105" s="78">
        <f>'Пр. 11'!J20</f>
        <v>12</v>
      </c>
      <c r="J105" s="113">
        <f t="shared" si="2"/>
        <v>0</v>
      </c>
      <c r="K105" s="78">
        <f>'Пр. 11'!L20</f>
        <v>12</v>
      </c>
      <c r="L105" s="78">
        <f>'Пр. 11'!M20</f>
        <v>12</v>
      </c>
    </row>
    <row r="106" spans="1:12" s="4" customFormat="1" ht="40.5" customHeight="1">
      <c r="A106" s="114" t="s">
        <v>175</v>
      </c>
      <c r="B106" s="111" t="s">
        <v>166</v>
      </c>
      <c r="C106" s="126">
        <v>0</v>
      </c>
      <c r="D106" s="111" t="s">
        <v>166</v>
      </c>
      <c r="E106" s="111" t="s">
        <v>176</v>
      </c>
      <c r="F106" s="111"/>
      <c r="G106" s="112"/>
      <c r="H106" s="78">
        <f aca="true" t="shared" si="3" ref="H106:L107">H107</f>
        <v>2169.9</v>
      </c>
      <c r="I106" s="78">
        <f t="shared" si="3"/>
        <v>2169.9</v>
      </c>
      <c r="J106" s="113">
        <f t="shared" si="2"/>
        <v>0</v>
      </c>
      <c r="K106" s="78">
        <f t="shared" si="3"/>
        <v>2080</v>
      </c>
      <c r="L106" s="78">
        <f t="shared" si="3"/>
        <v>2080</v>
      </c>
    </row>
    <row r="107" spans="1:12" s="4" customFormat="1" ht="25.5" customHeight="1">
      <c r="A107" s="114" t="s">
        <v>762</v>
      </c>
      <c r="B107" s="111" t="s">
        <v>166</v>
      </c>
      <c r="C107" s="126">
        <v>0</v>
      </c>
      <c r="D107" s="111" t="s">
        <v>166</v>
      </c>
      <c r="E107" s="111" t="s">
        <v>176</v>
      </c>
      <c r="F107" s="111" t="s">
        <v>761</v>
      </c>
      <c r="G107" s="112"/>
      <c r="H107" s="78">
        <f t="shared" si="3"/>
        <v>2169.9</v>
      </c>
      <c r="I107" s="78">
        <f t="shared" si="3"/>
        <v>2169.9</v>
      </c>
      <c r="J107" s="113">
        <f t="shared" si="2"/>
        <v>0</v>
      </c>
      <c r="K107" s="78">
        <f t="shared" si="3"/>
        <v>2080</v>
      </c>
      <c r="L107" s="78">
        <f t="shared" si="3"/>
        <v>2080</v>
      </c>
    </row>
    <row r="108" spans="1:12" s="4" customFormat="1" ht="21" customHeight="1">
      <c r="A108" s="22" t="s">
        <v>112</v>
      </c>
      <c r="B108" s="111" t="s">
        <v>166</v>
      </c>
      <c r="C108" s="126">
        <v>0</v>
      </c>
      <c r="D108" s="111" t="s">
        <v>166</v>
      </c>
      <c r="E108" s="111" t="s">
        <v>176</v>
      </c>
      <c r="F108" s="111" t="s">
        <v>761</v>
      </c>
      <c r="G108" s="112" t="s">
        <v>113</v>
      </c>
      <c r="H108" s="78">
        <f>'Пр. 11'!I421</f>
        <v>2169.9</v>
      </c>
      <c r="I108" s="78">
        <f>'Пр. 11'!J421</f>
        <v>2169.9</v>
      </c>
      <c r="J108" s="113">
        <f t="shared" si="2"/>
        <v>0</v>
      </c>
      <c r="K108" s="78">
        <f>'Пр. 11'!L421</f>
        <v>2080</v>
      </c>
      <c r="L108" s="78">
        <f>'Пр. 11'!M421</f>
        <v>2080</v>
      </c>
    </row>
    <row r="109" spans="1:12" s="4" customFormat="1" ht="54.75" customHeight="1">
      <c r="A109" s="119" t="s">
        <v>177</v>
      </c>
      <c r="B109" s="111" t="s">
        <v>166</v>
      </c>
      <c r="C109" s="126">
        <v>0</v>
      </c>
      <c r="D109" s="111" t="s">
        <v>166</v>
      </c>
      <c r="E109" s="111" t="s">
        <v>178</v>
      </c>
      <c r="F109" s="111"/>
      <c r="G109" s="112"/>
      <c r="H109" s="78">
        <f>H110</f>
        <v>1496.5</v>
      </c>
      <c r="I109" s="78">
        <f>I110</f>
        <v>1496.5</v>
      </c>
      <c r="J109" s="113">
        <f t="shared" si="2"/>
        <v>0</v>
      </c>
      <c r="K109" s="78">
        <f>K110</f>
        <v>1556.2999999999993</v>
      </c>
      <c r="L109" s="78">
        <f>L110</f>
        <v>1556.2999999999993</v>
      </c>
    </row>
    <row r="110" spans="1:12" s="4" customFormat="1" ht="39.75" customHeight="1">
      <c r="A110" s="22" t="s">
        <v>771</v>
      </c>
      <c r="B110" s="111" t="s">
        <v>166</v>
      </c>
      <c r="C110" s="126">
        <v>0</v>
      </c>
      <c r="D110" s="111" t="s">
        <v>166</v>
      </c>
      <c r="E110" s="111" t="s">
        <v>178</v>
      </c>
      <c r="F110" s="111" t="s">
        <v>768</v>
      </c>
      <c r="G110" s="112"/>
      <c r="H110" s="78">
        <f>H111</f>
        <v>1496.5</v>
      </c>
      <c r="I110" s="78">
        <f>I111</f>
        <v>1496.5</v>
      </c>
      <c r="J110" s="113">
        <f t="shared" si="2"/>
        <v>0</v>
      </c>
      <c r="K110" s="78">
        <f>K111</f>
        <v>1556.2999999999993</v>
      </c>
      <c r="L110" s="78">
        <f>L111</f>
        <v>1556.2999999999993</v>
      </c>
    </row>
    <row r="111" spans="1:12" s="4" customFormat="1" ht="17.25" customHeight="1">
      <c r="A111" s="22" t="s">
        <v>114</v>
      </c>
      <c r="B111" s="111" t="s">
        <v>166</v>
      </c>
      <c r="C111" s="126">
        <v>0</v>
      </c>
      <c r="D111" s="111" t="s">
        <v>166</v>
      </c>
      <c r="E111" s="111" t="s">
        <v>178</v>
      </c>
      <c r="F111" s="111" t="s">
        <v>768</v>
      </c>
      <c r="G111" s="112" t="s">
        <v>115</v>
      </c>
      <c r="H111" s="78">
        <f>'Пр. 11'!I453</f>
        <v>1496.5</v>
      </c>
      <c r="I111" s="78">
        <f>'Пр. 11'!J453</f>
        <v>1496.5</v>
      </c>
      <c r="J111" s="113">
        <f t="shared" si="2"/>
        <v>0</v>
      </c>
      <c r="K111" s="78">
        <f>'Пр. 11'!L453</f>
        <v>1556.2999999999993</v>
      </c>
      <c r="L111" s="78">
        <f>'Пр. 11'!M453</f>
        <v>1556.2999999999993</v>
      </c>
    </row>
    <row r="112" spans="1:12" s="4" customFormat="1" ht="48.75" customHeight="1">
      <c r="A112" s="127" t="s">
        <v>177</v>
      </c>
      <c r="B112" s="111" t="s">
        <v>166</v>
      </c>
      <c r="C112" s="126">
        <v>0</v>
      </c>
      <c r="D112" s="126">
        <v>2</v>
      </c>
      <c r="E112" s="111" t="s">
        <v>853</v>
      </c>
      <c r="F112" s="111"/>
      <c r="G112" s="112"/>
      <c r="H112" s="78">
        <f>H113</f>
        <v>33285.7</v>
      </c>
      <c r="I112" s="78">
        <f>I113</f>
        <v>33285.7</v>
      </c>
      <c r="J112" s="113">
        <f t="shared" si="2"/>
        <v>0</v>
      </c>
      <c r="K112" s="78">
        <f>K113</f>
        <v>27160.6</v>
      </c>
      <c r="L112" s="78">
        <f>L113</f>
        <v>27160.6</v>
      </c>
    </row>
    <row r="113" spans="1:12" s="4" customFormat="1" ht="32.25" customHeight="1">
      <c r="A113" s="121" t="s">
        <v>769</v>
      </c>
      <c r="B113" s="111" t="s">
        <v>166</v>
      </c>
      <c r="C113" s="126">
        <v>0</v>
      </c>
      <c r="D113" s="126">
        <v>2</v>
      </c>
      <c r="E113" s="111" t="s">
        <v>853</v>
      </c>
      <c r="F113" s="111" t="s">
        <v>768</v>
      </c>
      <c r="G113" s="112"/>
      <c r="H113" s="78">
        <f>H114</f>
        <v>33285.7</v>
      </c>
      <c r="I113" s="78">
        <f>I114</f>
        <v>33285.7</v>
      </c>
      <c r="J113" s="113">
        <f t="shared" si="2"/>
        <v>0</v>
      </c>
      <c r="K113" s="78">
        <f>K114</f>
        <v>27160.6</v>
      </c>
      <c r="L113" s="78">
        <f>L114</f>
        <v>27160.6</v>
      </c>
    </row>
    <row r="114" spans="1:12" s="4" customFormat="1" ht="21" customHeight="1">
      <c r="A114" s="22" t="s">
        <v>114</v>
      </c>
      <c r="B114" s="111" t="s">
        <v>166</v>
      </c>
      <c r="C114" s="126">
        <v>0</v>
      </c>
      <c r="D114" s="126">
        <v>2</v>
      </c>
      <c r="E114" s="111" t="s">
        <v>853</v>
      </c>
      <c r="F114" s="111" t="s">
        <v>768</v>
      </c>
      <c r="G114" s="112" t="s">
        <v>115</v>
      </c>
      <c r="H114" s="78">
        <f>'Пр. 11'!I455</f>
        <v>33285.7</v>
      </c>
      <c r="I114" s="78">
        <f>'Пр. 11'!J455</f>
        <v>33285.7</v>
      </c>
      <c r="J114" s="113">
        <f t="shared" si="2"/>
        <v>0</v>
      </c>
      <c r="K114" s="78">
        <f>'Пр. 11'!L455</f>
        <v>27160.6</v>
      </c>
      <c r="L114" s="78">
        <f>'Пр. 11'!M455</f>
        <v>27160.6</v>
      </c>
    </row>
    <row r="115" spans="1:12" s="5" customFormat="1" ht="58.5" customHeight="1">
      <c r="A115" s="122" t="s">
        <v>179</v>
      </c>
      <c r="B115" s="71" t="s">
        <v>180</v>
      </c>
      <c r="C115" s="71" t="s">
        <v>154</v>
      </c>
      <c r="D115" s="71" t="s">
        <v>155</v>
      </c>
      <c r="E115" s="71" t="s">
        <v>156</v>
      </c>
      <c r="F115" s="71"/>
      <c r="G115" s="107"/>
      <c r="H115" s="37">
        <f>H116+H127+H132</f>
        <v>151096.40000000002</v>
      </c>
      <c r="I115" s="37">
        <f>I116+I127+I132</f>
        <v>151096.40000000002</v>
      </c>
      <c r="J115" s="113">
        <f t="shared" si="2"/>
        <v>0</v>
      </c>
      <c r="K115" s="37">
        <f>K116+K127+K132</f>
        <v>155781.9</v>
      </c>
      <c r="L115" s="37">
        <f>L116+L127+L132</f>
        <v>159559.9</v>
      </c>
    </row>
    <row r="116" spans="1:12" s="5" customFormat="1" ht="69.75" customHeight="1">
      <c r="A116" s="109" t="s">
        <v>181</v>
      </c>
      <c r="B116" s="71" t="s">
        <v>180</v>
      </c>
      <c r="C116" s="71" t="s">
        <v>136</v>
      </c>
      <c r="D116" s="71" t="s">
        <v>155</v>
      </c>
      <c r="E116" s="71" t="s">
        <v>156</v>
      </c>
      <c r="F116" s="71"/>
      <c r="G116" s="107"/>
      <c r="H116" s="37">
        <f>H117</f>
        <v>150725.2</v>
      </c>
      <c r="I116" s="37">
        <f>I117</f>
        <v>150725.2</v>
      </c>
      <c r="J116" s="108">
        <f t="shared" si="2"/>
        <v>0</v>
      </c>
      <c r="K116" s="37">
        <f>K117</f>
        <v>155404.4</v>
      </c>
      <c r="L116" s="37">
        <f>L117</f>
        <v>159182.4</v>
      </c>
    </row>
    <row r="117" spans="1:12" s="5" customFormat="1" ht="52.5" customHeight="1">
      <c r="A117" s="128" t="s">
        <v>182</v>
      </c>
      <c r="B117" s="71" t="s">
        <v>180</v>
      </c>
      <c r="C117" s="71" t="s">
        <v>136</v>
      </c>
      <c r="D117" s="71" t="s">
        <v>153</v>
      </c>
      <c r="E117" s="71" t="s">
        <v>156</v>
      </c>
      <c r="F117" s="71"/>
      <c r="G117" s="107"/>
      <c r="H117" s="37">
        <f>H118+H121+H124</f>
        <v>150725.2</v>
      </c>
      <c r="I117" s="37">
        <f>I118+I121+I124</f>
        <v>150725.2</v>
      </c>
      <c r="J117" s="108">
        <f t="shared" si="2"/>
        <v>0</v>
      </c>
      <c r="K117" s="37">
        <f>K118+K121+K124</f>
        <v>155404.4</v>
      </c>
      <c r="L117" s="37">
        <f>L118+L121+L124</f>
        <v>159182.4</v>
      </c>
    </row>
    <row r="118" spans="1:12" s="4" customFormat="1" ht="38.25" customHeight="1">
      <c r="A118" s="114" t="s">
        <v>183</v>
      </c>
      <c r="B118" s="111" t="s">
        <v>180</v>
      </c>
      <c r="C118" s="111" t="s">
        <v>136</v>
      </c>
      <c r="D118" s="111" t="s">
        <v>153</v>
      </c>
      <c r="E118" s="111" t="s">
        <v>184</v>
      </c>
      <c r="F118" s="111"/>
      <c r="G118" s="112"/>
      <c r="H118" s="78">
        <f>H119</f>
        <v>45489.7</v>
      </c>
      <c r="I118" s="78">
        <f>I119</f>
        <v>45489.7</v>
      </c>
      <c r="J118" s="113">
        <f t="shared" si="2"/>
        <v>0</v>
      </c>
      <c r="K118" s="78">
        <f>K119</f>
        <v>46539.1</v>
      </c>
      <c r="L118" s="78">
        <f>L119</f>
        <v>46539.1</v>
      </c>
    </row>
    <row r="119" spans="1:12" s="4" customFormat="1" ht="21" customHeight="1">
      <c r="A119" s="114" t="s">
        <v>765</v>
      </c>
      <c r="B119" s="111" t="s">
        <v>180</v>
      </c>
      <c r="C119" s="111" t="s">
        <v>136</v>
      </c>
      <c r="D119" s="111" t="s">
        <v>153</v>
      </c>
      <c r="E119" s="111" t="s">
        <v>184</v>
      </c>
      <c r="F119" s="111" t="s">
        <v>766</v>
      </c>
      <c r="G119" s="112"/>
      <c r="H119" s="78">
        <f>H120</f>
        <v>45489.7</v>
      </c>
      <c r="I119" s="78">
        <f>I120</f>
        <v>45489.7</v>
      </c>
      <c r="J119" s="113">
        <f t="shared" si="2"/>
        <v>0</v>
      </c>
      <c r="K119" s="78">
        <f>K120</f>
        <v>46539.1</v>
      </c>
      <c r="L119" s="78">
        <f>L120</f>
        <v>46539.1</v>
      </c>
    </row>
    <row r="120" spans="1:12" s="4" customFormat="1" ht="40.5" customHeight="1">
      <c r="A120" s="93" t="s">
        <v>130</v>
      </c>
      <c r="B120" s="111" t="s">
        <v>180</v>
      </c>
      <c r="C120" s="111" t="s">
        <v>136</v>
      </c>
      <c r="D120" s="111" t="s">
        <v>153</v>
      </c>
      <c r="E120" s="111" t="s">
        <v>184</v>
      </c>
      <c r="F120" s="111" t="s">
        <v>766</v>
      </c>
      <c r="G120" s="112" t="s">
        <v>131</v>
      </c>
      <c r="H120" s="78">
        <f>'Пр. 11'!I675</f>
        <v>45489.7</v>
      </c>
      <c r="I120" s="78">
        <f>'Пр. 11'!J675</f>
        <v>45489.7</v>
      </c>
      <c r="J120" s="113">
        <f t="shared" si="2"/>
        <v>0</v>
      </c>
      <c r="K120" s="78">
        <f>'Пр. 11'!L675</f>
        <v>46539.1</v>
      </c>
      <c r="L120" s="78">
        <f>'Пр. 11'!M675</f>
        <v>46539.1</v>
      </c>
    </row>
    <row r="121" spans="1:12" s="4" customFormat="1" ht="70.5" customHeight="1">
      <c r="A121" s="114" t="s">
        <v>185</v>
      </c>
      <c r="B121" s="111" t="s">
        <v>180</v>
      </c>
      <c r="C121" s="111" t="s">
        <v>136</v>
      </c>
      <c r="D121" s="111" t="s">
        <v>153</v>
      </c>
      <c r="E121" s="111" t="s">
        <v>186</v>
      </c>
      <c r="F121" s="111"/>
      <c r="G121" s="112"/>
      <c r="H121" s="78">
        <f>H122</f>
        <v>29.5</v>
      </c>
      <c r="I121" s="78">
        <f>I122</f>
        <v>29.5</v>
      </c>
      <c r="J121" s="113">
        <f t="shared" si="2"/>
        <v>0</v>
      </c>
      <c r="K121" s="78">
        <f>K122</f>
        <v>29.5</v>
      </c>
      <c r="L121" s="78">
        <f>L122</f>
        <v>29.3</v>
      </c>
    </row>
    <row r="122" spans="1:12" s="4" customFormat="1" ht="65.25" customHeight="1">
      <c r="A122" s="114" t="s">
        <v>755</v>
      </c>
      <c r="B122" s="111" t="s">
        <v>180</v>
      </c>
      <c r="C122" s="111" t="s">
        <v>136</v>
      </c>
      <c r="D122" s="111" t="s">
        <v>153</v>
      </c>
      <c r="E122" s="111" t="s">
        <v>186</v>
      </c>
      <c r="F122" s="111" t="s">
        <v>756</v>
      </c>
      <c r="G122" s="112"/>
      <c r="H122" s="78">
        <f>H123</f>
        <v>29.5</v>
      </c>
      <c r="I122" s="78">
        <f>I123</f>
        <v>29.5</v>
      </c>
      <c r="J122" s="113">
        <f t="shared" si="2"/>
        <v>0</v>
      </c>
      <c r="K122" s="78">
        <f>K123</f>
        <v>29.5</v>
      </c>
      <c r="L122" s="78">
        <f>L123</f>
        <v>29.3</v>
      </c>
    </row>
    <row r="123" spans="1:12" s="4" customFormat="1" ht="39.75" customHeight="1">
      <c r="A123" s="114" t="s">
        <v>52</v>
      </c>
      <c r="B123" s="111" t="s">
        <v>180</v>
      </c>
      <c r="C123" s="111" t="s">
        <v>136</v>
      </c>
      <c r="D123" s="111" t="s">
        <v>153</v>
      </c>
      <c r="E123" s="111" t="s">
        <v>186</v>
      </c>
      <c r="F123" s="111" t="s">
        <v>756</v>
      </c>
      <c r="G123" s="112" t="s">
        <v>53</v>
      </c>
      <c r="H123" s="78">
        <f>'Пр. 11'!I494</f>
        <v>29.5</v>
      </c>
      <c r="I123" s="78">
        <f>'Пр. 11'!J494</f>
        <v>29.5</v>
      </c>
      <c r="J123" s="113">
        <f t="shared" si="2"/>
        <v>0</v>
      </c>
      <c r="K123" s="78">
        <f>'Пр. 11'!L494</f>
        <v>29.5</v>
      </c>
      <c r="L123" s="78">
        <f>'Пр. 11'!M494</f>
        <v>29.3</v>
      </c>
    </row>
    <row r="124" spans="1:12" s="4" customFormat="1" ht="63.75" customHeight="1">
      <c r="A124" s="114" t="s">
        <v>185</v>
      </c>
      <c r="B124" s="111" t="s">
        <v>180</v>
      </c>
      <c r="C124" s="111" t="s">
        <v>136</v>
      </c>
      <c r="D124" s="111" t="s">
        <v>153</v>
      </c>
      <c r="E124" s="111" t="s">
        <v>186</v>
      </c>
      <c r="F124" s="111"/>
      <c r="G124" s="112"/>
      <c r="H124" s="78">
        <f>H125</f>
        <v>105206</v>
      </c>
      <c r="I124" s="78">
        <f>I125</f>
        <v>105206</v>
      </c>
      <c r="J124" s="113">
        <f t="shared" si="2"/>
        <v>0</v>
      </c>
      <c r="K124" s="78">
        <f>K125</f>
        <v>108835.8</v>
      </c>
      <c r="L124" s="78">
        <f>L125</f>
        <v>112614</v>
      </c>
    </row>
    <row r="125" spans="1:12" s="4" customFormat="1" ht="21.75" customHeight="1">
      <c r="A125" s="114" t="s">
        <v>765</v>
      </c>
      <c r="B125" s="111" t="s">
        <v>180</v>
      </c>
      <c r="C125" s="111" t="s">
        <v>136</v>
      </c>
      <c r="D125" s="111" t="s">
        <v>153</v>
      </c>
      <c r="E125" s="111" t="s">
        <v>186</v>
      </c>
      <c r="F125" s="111" t="s">
        <v>766</v>
      </c>
      <c r="G125" s="112"/>
      <c r="H125" s="78">
        <f>H126</f>
        <v>105206</v>
      </c>
      <c r="I125" s="78">
        <f>I126</f>
        <v>105206</v>
      </c>
      <c r="J125" s="113">
        <f t="shared" si="2"/>
        <v>0</v>
      </c>
      <c r="K125" s="78">
        <f>K126</f>
        <v>108835.8</v>
      </c>
      <c r="L125" s="78">
        <f>L126</f>
        <v>112614</v>
      </c>
    </row>
    <row r="126" spans="1:12" s="4" customFormat="1" ht="34.5" customHeight="1">
      <c r="A126" s="93" t="s">
        <v>130</v>
      </c>
      <c r="B126" s="111" t="s">
        <v>180</v>
      </c>
      <c r="C126" s="111" t="s">
        <v>136</v>
      </c>
      <c r="D126" s="111" t="s">
        <v>153</v>
      </c>
      <c r="E126" s="111" t="s">
        <v>186</v>
      </c>
      <c r="F126" s="111" t="s">
        <v>766</v>
      </c>
      <c r="G126" s="112" t="s">
        <v>131</v>
      </c>
      <c r="H126" s="78">
        <f>'Пр. 11'!I677</f>
        <v>105206</v>
      </c>
      <c r="I126" s="78">
        <f>'Пр. 11'!J677</f>
        <v>105206</v>
      </c>
      <c r="J126" s="113">
        <f t="shared" si="2"/>
        <v>0</v>
      </c>
      <c r="K126" s="78">
        <f>'Пр. 11'!L677</f>
        <v>108835.8</v>
      </c>
      <c r="L126" s="78">
        <f>'Пр. 11'!M677</f>
        <v>112614</v>
      </c>
    </row>
    <row r="127" spans="1:12" s="5" customFormat="1" ht="44.25" customHeight="1">
      <c r="A127" s="109" t="s">
        <v>187</v>
      </c>
      <c r="B127" s="71" t="s">
        <v>180</v>
      </c>
      <c r="C127" s="71" t="s">
        <v>137</v>
      </c>
      <c r="D127" s="71" t="s">
        <v>155</v>
      </c>
      <c r="E127" s="71" t="s">
        <v>156</v>
      </c>
      <c r="F127" s="71"/>
      <c r="G127" s="107"/>
      <c r="H127" s="37">
        <f aca="true" t="shared" si="4" ref="H127:L130">H128</f>
        <v>271.2</v>
      </c>
      <c r="I127" s="37">
        <f t="shared" si="4"/>
        <v>271.2</v>
      </c>
      <c r="J127" s="108">
        <f t="shared" si="2"/>
        <v>0</v>
      </c>
      <c r="K127" s="37">
        <f t="shared" si="4"/>
        <v>277.5</v>
      </c>
      <c r="L127" s="37">
        <f t="shared" si="4"/>
        <v>277.5</v>
      </c>
    </row>
    <row r="128" spans="1:12" s="5" customFormat="1" ht="51" customHeight="1">
      <c r="A128" s="109" t="s">
        <v>188</v>
      </c>
      <c r="B128" s="71" t="s">
        <v>180</v>
      </c>
      <c r="C128" s="71" t="s">
        <v>137</v>
      </c>
      <c r="D128" s="71" t="s">
        <v>153</v>
      </c>
      <c r="E128" s="71" t="s">
        <v>156</v>
      </c>
      <c r="F128" s="71"/>
      <c r="G128" s="107"/>
      <c r="H128" s="37">
        <f t="shared" si="4"/>
        <v>271.2</v>
      </c>
      <c r="I128" s="37">
        <f t="shared" si="4"/>
        <v>271.2</v>
      </c>
      <c r="J128" s="108">
        <f t="shared" si="2"/>
        <v>0</v>
      </c>
      <c r="K128" s="37">
        <f t="shared" si="4"/>
        <v>277.5</v>
      </c>
      <c r="L128" s="37">
        <f t="shared" si="4"/>
        <v>277.5</v>
      </c>
    </row>
    <row r="129" spans="1:12" s="4" customFormat="1" ht="21" customHeight="1">
      <c r="A129" s="114" t="s">
        <v>189</v>
      </c>
      <c r="B129" s="111" t="s">
        <v>180</v>
      </c>
      <c r="C129" s="111" t="s">
        <v>137</v>
      </c>
      <c r="D129" s="111" t="s">
        <v>153</v>
      </c>
      <c r="E129" s="112" t="s">
        <v>190</v>
      </c>
      <c r="F129" s="129"/>
      <c r="G129" s="112"/>
      <c r="H129" s="78">
        <f t="shared" si="4"/>
        <v>271.2</v>
      </c>
      <c r="I129" s="78">
        <f t="shared" si="4"/>
        <v>271.2</v>
      </c>
      <c r="J129" s="113">
        <f t="shared" si="2"/>
        <v>0</v>
      </c>
      <c r="K129" s="78">
        <f t="shared" si="4"/>
        <v>277.5</v>
      </c>
      <c r="L129" s="78">
        <f t="shared" si="4"/>
        <v>277.5</v>
      </c>
    </row>
    <row r="130" spans="1:12" s="4" customFormat="1" ht="20.25" customHeight="1">
      <c r="A130" s="114" t="s">
        <v>770</v>
      </c>
      <c r="B130" s="111" t="s">
        <v>180</v>
      </c>
      <c r="C130" s="111" t="s">
        <v>137</v>
      </c>
      <c r="D130" s="111" t="s">
        <v>153</v>
      </c>
      <c r="E130" s="112" t="s">
        <v>190</v>
      </c>
      <c r="F130" s="129">
        <v>700</v>
      </c>
      <c r="G130" s="112"/>
      <c r="H130" s="78">
        <f t="shared" si="4"/>
        <v>271.2</v>
      </c>
      <c r="I130" s="78">
        <f t="shared" si="4"/>
        <v>271.2</v>
      </c>
      <c r="J130" s="113">
        <f t="shared" si="2"/>
        <v>0</v>
      </c>
      <c r="K130" s="78">
        <f t="shared" si="4"/>
        <v>277.5</v>
      </c>
      <c r="L130" s="78">
        <f t="shared" si="4"/>
        <v>277.5</v>
      </c>
    </row>
    <row r="131" spans="1:12" s="4" customFormat="1" ht="30.75" customHeight="1">
      <c r="A131" s="93" t="s">
        <v>191</v>
      </c>
      <c r="B131" s="111" t="s">
        <v>180</v>
      </c>
      <c r="C131" s="111" t="s">
        <v>137</v>
      </c>
      <c r="D131" s="111" t="s">
        <v>153</v>
      </c>
      <c r="E131" s="112" t="s">
        <v>190</v>
      </c>
      <c r="F131" s="129">
        <v>700</v>
      </c>
      <c r="G131" s="112" t="s">
        <v>127</v>
      </c>
      <c r="H131" s="78">
        <f>'Пр. 11'!I668</f>
        <v>271.2</v>
      </c>
      <c r="I131" s="78">
        <f>'Пр. 11'!J668</f>
        <v>271.2</v>
      </c>
      <c r="J131" s="113">
        <f t="shared" si="2"/>
        <v>0</v>
      </c>
      <c r="K131" s="78">
        <f>'Пр. 11'!L668</f>
        <v>277.5</v>
      </c>
      <c r="L131" s="78">
        <f>'Пр. 11'!M668</f>
        <v>277.5</v>
      </c>
    </row>
    <row r="132" spans="1:12" s="5" customFormat="1" ht="39.75" customHeight="1">
      <c r="A132" s="130" t="s">
        <v>1089</v>
      </c>
      <c r="B132" s="71" t="s">
        <v>180</v>
      </c>
      <c r="C132" s="71" t="s">
        <v>139</v>
      </c>
      <c r="D132" s="71" t="s">
        <v>155</v>
      </c>
      <c r="E132" s="107" t="s">
        <v>156</v>
      </c>
      <c r="F132" s="105"/>
      <c r="G132" s="107"/>
      <c r="H132" s="37">
        <f aca="true" t="shared" si="5" ref="H132:I135">H133</f>
        <v>100</v>
      </c>
      <c r="I132" s="37">
        <f t="shared" si="5"/>
        <v>100</v>
      </c>
      <c r="J132" s="108">
        <f t="shared" si="2"/>
        <v>0</v>
      </c>
      <c r="K132" s="37">
        <f aca="true" t="shared" si="6" ref="K132:L135">K133</f>
        <v>100</v>
      </c>
      <c r="L132" s="37">
        <f t="shared" si="6"/>
        <v>100</v>
      </c>
    </row>
    <row r="133" spans="1:12" s="5" customFormat="1" ht="36" customHeight="1">
      <c r="A133" s="130" t="s">
        <v>978</v>
      </c>
      <c r="B133" s="71" t="s">
        <v>180</v>
      </c>
      <c r="C133" s="71" t="s">
        <v>139</v>
      </c>
      <c r="D133" s="71" t="s">
        <v>153</v>
      </c>
      <c r="E133" s="107" t="s">
        <v>156</v>
      </c>
      <c r="F133" s="105"/>
      <c r="G133" s="107"/>
      <c r="H133" s="37">
        <f t="shared" si="5"/>
        <v>100</v>
      </c>
      <c r="I133" s="37">
        <f t="shared" si="5"/>
        <v>100</v>
      </c>
      <c r="J133" s="108">
        <f t="shared" si="2"/>
        <v>0</v>
      </c>
      <c r="K133" s="37">
        <f t="shared" si="6"/>
        <v>100</v>
      </c>
      <c r="L133" s="37">
        <f t="shared" si="6"/>
        <v>100</v>
      </c>
    </row>
    <row r="134" spans="1:12" s="4" customFormat="1" ht="39.75" customHeight="1">
      <c r="A134" s="93" t="s">
        <v>979</v>
      </c>
      <c r="B134" s="111" t="s">
        <v>180</v>
      </c>
      <c r="C134" s="111" t="s">
        <v>139</v>
      </c>
      <c r="D134" s="111" t="s">
        <v>153</v>
      </c>
      <c r="E134" s="112" t="s">
        <v>980</v>
      </c>
      <c r="F134" s="129"/>
      <c r="G134" s="112"/>
      <c r="H134" s="78">
        <f t="shared" si="5"/>
        <v>100</v>
      </c>
      <c r="I134" s="78">
        <f t="shared" si="5"/>
        <v>100</v>
      </c>
      <c r="J134" s="113">
        <f t="shared" si="2"/>
        <v>0</v>
      </c>
      <c r="K134" s="78">
        <f t="shared" si="6"/>
        <v>100</v>
      </c>
      <c r="L134" s="78">
        <f t="shared" si="6"/>
        <v>100</v>
      </c>
    </row>
    <row r="135" spans="1:12" s="4" customFormat="1" ht="35.25" customHeight="1">
      <c r="A135" s="119" t="s">
        <v>758</v>
      </c>
      <c r="B135" s="111" t="s">
        <v>180</v>
      </c>
      <c r="C135" s="111" t="s">
        <v>139</v>
      </c>
      <c r="D135" s="111" t="s">
        <v>153</v>
      </c>
      <c r="E135" s="112" t="s">
        <v>980</v>
      </c>
      <c r="F135" s="129">
        <v>200</v>
      </c>
      <c r="G135" s="112"/>
      <c r="H135" s="78">
        <f t="shared" si="5"/>
        <v>100</v>
      </c>
      <c r="I135" s="78">
        <f t="shared" si="5"/>
        <v>100</v>
      </c>
      <c r="J135" s="113">
        <f t="shared" si="2"/>
        <v>0</v>
      </c>
      <c r="K135" s="78">
        <f t="shared" si="6"/>
        <v>100</v>
      </c>
      <c r="L135" s="78">
        <f t="shared" si="6"/>
        <v>100</v>
      </c>
    </row>
    <row r="136" spans="1:12" s="4" customFormat="1" ht="39.75" customHeight="1">
      <c r="A136" s="114" t="s">
        <v>52</v>
      </c>
      <c r="B136" s="111" t="s">
        <v>180</v>
      </c>
      <c r="C136" s="111" t="s">
        <v>139</v>
      </c>
      <c r="D136" s="111" t="s">
        <v>153</v>
      </c>
      <c r="E136" s="112" t="s">
        <v>980</v>
      </c>
      <c r="F136" s="129">
        <v>200</v>
      </c>
      <c r="G136" s="112" t="s">
        <v>53</v>
      </c>
      <c r="H136" s="78">
        <f>'Пр. 11'!I498</f>
        <v>100</v>
      </c>
      <c r="I136" s="78">
        <f>'Пр. 11'!J498</f>
        <v>100</v>
      </c>
      <c r="J136" s="113">
        <f t="shared" si="2"/>
        <v>0</v>
      </c>
      <c r="K136" s="78">
        <f>'Пр. 11'!L498</f>
        <v>100</v>
      </c>
      <c r="L136" s="78">
        <f>'Пр. 11'!M498</f>
        <v>100</v>
      </c>
    </row>
    <row r="137" spans="1:12" s="3" customFormat="1" ht="46.5" customHeight="1">
      <c r="A137" s="122" t="s">
        <v>192</v>
      </c>
      <c r="B137" s="71" t="s">
        <v>193</v>
      </c>
      <c r="C137" s="71" t="s">
        <v>154</v>
      </c>
      <c r="D137" s="71" t="s">
        <v>155</v>
      </c>
      <c r="E137" s="71" t="s">
        <v>156</v>
      </c>
      <c r="F137" s="71"/>
      <c r="G137" s="107"/>
      <c r="H137" s="37">
        <f>H138+H180+H196</f>
        <v>105985.69999999998</v>
      </c>
      <c r="I137" s="37">
        <f>I138+I180+I196</f>
        <v>107846.4</v>
      </c>
      <c r="J137" s="108">
        <f t="shared" si="2"/>
        <v>1860.7000000000116</v>
      </c>
      <c r="K137" s="37">
        <f>K138+K180+K196</f>
        <v>102291.2</v>
      </c>
      <c r="L137" s="37">
        <f>L138+L180+L196</f>
        <v>102233.2</v>
      </c>
    </row>
    <row r="138" spans="1:12" s="5" customFormat="1" ht="35.25" customHeight="1">
      <c r="A138" s="109" t="s">
        <v>194</v>
      </c>
      <c r="B138" s="71" t="s">
        <v>193</v>
      </c>
      <c r="C138" s="71" t="s">
        <v>136</v>
      </c>
      <c r="D138" s="71" t="s">
        <v>155</v>
      </c>
      <c r="E138" s="71" t="s">
        <v>156</v>
      </c>
      <c r="F138" s="71"/>
      <c r="G138" s="107"/>
      <c r="H138" s="37">
        <f>H139</f>
        <v>11421.8</v>
      </c>
      <c r="I138" s="37">
        <f>I139</f>
        <v>13806.699999999999</v>
      </c>
      <c r="J138" s="108">
        <f t="shared" si="2"/>
        <v>2384.8999999999996</v>
      </c>
      <c r="K138" s="37">
        <f>K139</f>
        <v>1164.1000000000001</v>
      </c>
      <c r="L138" s="37">
        <f>L139</f>
        <v>1169.8000000000002</v>
      </c>
    </row>
    <row r="139" spans="1:12" s="5" customFormat="1" ht="50.25" customHeight="1">
      <c r="A139" s="109" t="s">
        <v>891</v>
      </c>
      <c r="B139" s="71" t="s">
        <v>193</v>
      </c>
      <c r="C139" s="71" t="s">
        <v>136</v>
      </c>
      <c r="D139" s="71" t="s">
        <v>166</v>
      </c>
      <c r="E139" s="71" t="s">
        <v>156</v>
      </c>
      <c r="F139" s="71"/>
      <c r="G139" s="107"/>
      <c r="H139" s="37">
        <f>H140+H145+H148+H153+H163+H166+H173+H158</f>
        <v>11421.8</v>
      </c>
      <c r="I139" s="37">
        <f>I140+I145+I148+I153+I163+I166+I173+I158</f>
        <v>13806.699999999999</v>
      </c>
      <c r="J139" s="108">
        <f t="shared" si="2"/>
        <v>2384.8999999999996</v>
      </c>
      <c r="K139" s="37">
        <f>K140+K145+K148+K153+K163+K166+K173+K158</f>
        <v>1164.1000000000001</v>
      </c>
      <c r="L139" s="37">
        <f>L140+L145+L148+L153+L163+L166+L173+L158</f>
        <v>1169.8000000000002</v>
      </c>
    </row>
    <row r="140" spans="1:12" s="4" customFormat="1" ht="22.5" customHeight="1">
      <c r="A140" s="119" t="s">
        <v>208</v>
      </c>
      <c r="B140" s="111" t="s">
        <v>193</v>
      </c>
      <c r="C140" s="111" t="s">
        <v>136</v>
      </c>
      <c r="D140" s="111" t="s">
        <v>166</v>
      </c>
      <c r="E140" s="111" t="s">
        <v>209</v>
      </c>
      <c r="F140" s="111"/>
      <c r="G140" s="112"/>
      <c r="H140" s="78">
        <f>H141+H143</f>
        <v>5064</v>
      </c>
      <c r="I140" s="78">
        <f>I141+I143</f>
        <v>6944.9</v>
      </c>
      <c r="J140" s="113">
        <f aca="true" t="shared" si="7" ref="J140:J179">I140-H140</f>
        <v>1880.8999999999996</v>
      </c>
      <c r="K140" s="78">
        <f>K141+K143</f>
        <v>0</v>
      </c>
      <c r="L140" s="78">
        <f>L141+L143</f>
        <v>0</v>
      </c>
    </row>
    <row r="141" spans="1:12" s="4" customFormat="1" ht="34.5" customHeight="1">
      <c r="A141" s="119" t="s">
        <v>763</v>
      </c>
      <c r="B141" s="111" t="s">
        <v>193</v>
      </c>
      <c r="C141" s="111" t="s">
        <v>136</v>
      </c>
      <c r="D141" s="111" t="s">
        <v>166</v>
      </c>
      <c r="E141" s="111" t="s">
        <v>209</v>
      </c>
      <c r="F141" s="111" t="s">
        <v>764</v>
      </c>
      <c r="G141" s="112"/>
      <c r="H141" s="78">
        <f>H142</f>
        <v>5064</v>
      </c>
      <c r="I141" s="78">
        <f>I142</f>
        <v>6944.9</v>
      </c>
      <c r="J141" s="113">
        <f t="shared" si="7"/>
        <v>1880.8999999999996</v>
      </c>
      <c r="K141" s="78">
        <f>K142</f>
        <v>0</v>
      </c>
      <c r="L141" s="78">
        <f>L142</f>
        <v>0</v>
      </c>
    </row>
    <row r="142" spans="1:12" s="4" customFormat="1" ht="17.25" customHeight="1">
      <c r="A142" s="22" t="s">
        <v>94</v>
      </c>
      <c r="B142" s="111" t="s">
        <v>193</v>
      </c>
      <c r="C142" s="111" t="s">
        <v>136</v>
      </c>
      <c r="D142" s="111" t="s">
        <v>166</v>
      </c>
      <c r="E142" s="111" t="s">
        <v>209</v>
      </c>
      <c r="F142" s="111" t="s">
        <v>764</v>
      </c>
      <c r="G142" s="112" t="s">
        <v>95</v>
      </c>
      <c r="H142" s="78">
        <f>'Пр. 11'!I297</f>
        <v>5064</v>
      </c>
      <c r="I142" s="78">
        <f>'Пр. 11'!J297</f>
        <v>6944.9</v>
      </c>
      <c r="J142" s="113">
        <f t="shared" si="7"/>
        <v>1880.8999999999996</v>
      </c>
      <c r="K142" s="78">
        <f>'Пр. 11'!L297</f>
        <v>0</v>
      </c>
      <c r="L142" s="78">
        <f>'Пр. 11'!M297</f>
        <v>0</v>
      </c>
    </row>
    <row r="143" spans="1:12" s="4" customFormat="1" ht="22.5" customHeight="1" hidden="1">
      <c r="A143" s="119" t="s">
        <v>758</v>
      </c>
      <c r="B143" s="111" t="s">
        <v>193</v>
      </c>
      <c r="C143" s="111" t="s">
        <v>136</v>
      </c>
      <c r="D143" s="111" t="s">
        <v>166</v>
      </c>
      <c r="E143" s="111" t="s">
        <v>209</v>
      </c>
      <c r="F143" s="111" t="s">
        <v>757</v>
      </c>
      <c r="G143" s="112"/>
      <c r="H143" s="78">
        <f>H144</f>
        <v>0</v>
      </c>
      <c r="I143" s="78">
        <f>I144</f>
        <v>0</v>
      </c>
      <c r="J143" s="113">
        <f t="shared" si="7"/>
        <v>0</v>
      </c>
      <c r="K143" s="78">
        <f>K144</f>
        <v>0</v>
      </c>
      <c r="L143" s="78">
        <f>L144</f>
        <v>0</v>
      </c>
    </row>
    <row r="144" spans="1:12" s="4" customFormat="1" ht="18.75" customHeight="1" hidden="1">
      <c r="A144" s="119" t="s">
        <v>104</v>
      </c>
      <c r="B144" s="111" t="s">
        <v>193</v>
      </c>
      <c r="C144" s="111" t="s">
        <v>136</v>
      </c>
      <c r="D144" s="111" t="s">
        <v>166</v>
      </c>
      <c r="E144" s="111" t="s">
        <v>209</v>
      </c>
      <c r="F144" s="111" t="s">
        <v>757</v>
      </c>
      <c r="G144" s="112" t="s">
        <v>105</v>
      </c>
      <c r="H144" s="78">
        <f>'Пр. 11'!I366</f>
        <v>0</v>
      </c>
      <c r="I144" s="78">
        <f>'Пр. 11'!J366</f>
        <v>0</v>
      </c>
      <c r="J144" s="113">
        <f t="shared" si="7"/>
        <v>0</v>
      </c>
      <c r="K144" s="78">
        <f>'Пр. 11'!L366</f>
        <v>0</v>
      </c>
      <c r="L144" s="78">
        <f>'Пр. 11'!M366</f>
        <v>0</v>
      </c>
    </row>
    <row r="145" spans="1:12" s="4" customFormat="1" ht="33" customHeight="1">
      <c r="A145" s="119" t="s">
        <v>212</v>
      </c>
      <c r="B145" s="111" t="s">
        <v>193</v>
      </c>
      <c r="C145" s="111" t="s">
        <v>136</v>
      </c>
      <c r="D145" s="111" t="s">
        <v>166</v>
      </c>
      <c r="E145" s="111" t="s">
        <v>213</v>
      </c>
      <c r="F145" s="111"/>
      <c r="G145" s="112"/>
      <c r="H145" s="78">
        <f>H146</f>
        <v>70.3</v>
      </c>
      <c r="I145" s="78">
        <f>I146</f>
        <v>70.3</v>
      </c>
      <c r="J145" s="113">
        <f t="shared" si="7"/>
        <v>0</v>
      </c>
      <c r="K145" s="78">
        <f>K146</f>
        <v>120</v>
      </c>
      <c r="L145" s="78">
        <f>L146</f>
        <v>120</v>
      </c>
    </row>
    <row r="146" spans="1:12" s="4" customFormat="1" ht="32.25" customHeight="1">
      <c r="A146" s="119" t="s">
        <v>758</v>
      </c>
      <c r="B146" s="111" t="s">
        <v>193</v>
      </c>
      <c r="C146" s="111" t="s">
        <v>136</v>
      </c>
      <c r="D146" s="111" t="s">
        <v>166</v>
      </c>
      <c r="E146" s="111" t="s">
        <v>213</v>
      </c>
      <c r="F146" s="111" t="s">
        <v>757</v>
      </c>
      <c r="G146" s="112"/>
      <c r="H146" s="78">
        <f>H147</f>
        <v>70.3</v>
      </c>
      <c r="I146" s="78">
        <f>I147</f>
        <v>70.3</v>
      </c>
      <c r="J146" s="113">
        <f t="shared" si="7"/>
        <v>0</v>
      </c>
      <c r="K146" s="78">
        <f>K147</f>
        <v>120</v>
      </c>
      <c r="L146" s="78">
        <f>L147</f>
        <v>120</v>
      </c>
    </row>
    <row r="147" spans="1:12" s="4" customFormat="1" ht="18" customHeight="1">
      <c r="A147" s="119" t="s">
        <v>104</v>
      </c>
      <c r="B147" s="111" t="s">
        <v>193</v>
      </c>
      <c r="C147" s="111" t="s">
        <v>136</v>
      </c>
      <c r="D147" s="111" t="s">
        <v>166</v>
      </c>
      <c r="E147" s="111" t="s">
        <v>213</v>
      </c>
      <c r="F147" s="111" t="s">
        <v>757</v>
      </c>
      <c r="G147" s="112" t="s">
        <v>105</v>
      </c>
      <c r="H147" s="78">
        <f>'Пр. 11'!I368</f>
        <v>70.3</v>
      </c>
      <c r="I147" s="78">
        <f>'Пр. 11'!J368</f>
        <v>70.3</v>
      </c>
      <c r="J147" s="113">
        <f t="shared" si="7"/>
        <v>0</v>
      </c>
      <c r="K147" s="78">
        <f>'Пр. 11'!L368</f>
        <v>120</v>
      </c>
      <c r="L147" s="78">
        <f>'Пр. 11'!M368</f>
        <v>120</v>
      </c>
    </row>
    <row r="148" spans="1:12" s="4" customFormat="1" ht="22.5" customHeight="1">
      <c r="A148" s="127" t="s">
        <v>777</v>
      </c>
      <c r="B148" s="111" t="s">
        <v>193</v>
      </c>
      <c r="C148" s="111" t="s">
        <v>136</v>
      </c>
      <c r="D148" s="111" t="s">
        <v>166</v>
      </c>
      <c r="E148" s="111" t="s">
        <v>774</v>
      </c>
      <c r="F148" s="111"/>
      <c r="G148" s="112"/>
      <c r="H148" s="78">
        <f>H149+H151</f>
        <v>1328.7</v>
      </c>
      <c r="I148" s="78">
        <f>I149+I151</f>
        <v>1328.7</v>
      </c>
      <c r="J148" s="113">
        <f t="shared" si="7"/>
        <v>0</v>
      </c>
      <c r="K148" s="78">
        <f>K149+K151</f>
        <v>225.7</v>
      </c>
      <c r="L148" s="78">
        <f>L149+L151</f>
        <v>231.4</v>
      </c>
    </row>
    <row r="149" spans="1:12" s="4" customFormat="1" ht="32.25" customHeight="1">
      <c r="A149" s="127" t="s">
        <v>758</v>
      </c>
      <c r="B149" s="111" t="s">
        <v>193</v>
      </c>
      <c r="C149" s="111" t="s">
        <v>136</v>
      </c>
      <c r="D149" s="111" t="s">
        <v>166</v>
      </c>
      <c r="E149" s="111" t="s">
        <v>774</v>
      </c>
      <c r="F149" s="111" t="s">
        <v>757</v>
      </c>
      <c r="G149" s="112"/>
      <c r="H149" s="78">
        <f>H150</f>
        <v>220</v>
      </c>
      <c r="I149" s="78">
        <f>I150</f>
        <v>220</v>
      </c>
      <c r="J149" s="113">
        <f t="shared" si="7"/>
        <v>0</v>
      </c>
      <c r="K149" s="78">
        <f>K150</f>
        <v>225.7</v>
      </c>
      <c r="L149" s="78">
        <f>L150</f>
        <v>231.4</v>
      </c>
    </row>
    <row r="150" spans="1:12" s="4" customFormat="1" ht="21" customHeight="1">
      <c r="A150" s="119" t="s">
        <v>104</v>
      </c>
      <c r="B150" s="111" t="s">
        <v>193</v>
      </c>
      <c r="C150" s="111" t="s">
        <v>136</v>
      </c>
      <c r="D150" s="111" t="s">
        <v>166</v>
      </c>
      <c r="E150" s="111" t="s">
        <v>774</v>
      </c>
      <c r="F150" s="111" t="s">
        <v>757</v>
      </c>
      <c r="G150" s="112" t="s">
        <v>105</v>
      </c>
      <c r="H150" s="78">
        <f>'Пр. 11'!I370</f>
        <v>220</v>
      </c>
      <c r="I150" s="78">
        <f>'Пр. 11'!J370</f>
        <v>220</v>
      </c>
      <c r="J150" s="113">
        <f t="shared" si="7"/>
        <v>0</v>
      </c>
      <c r="K150" s="78">
        <f>'Пр. 11'!L370</f>
        <v>225.7</v>
      </c>
      <c r="L150" s="78">
        <f>'Пр. 11'!M370</f>
        <v>231.4</v>
      </c>
    </row>
    <row r="151" spans="1:12" s="4" customFormat="1" ht="40.5" customHeight="1">
      <c r="A151" s="119" t="s">
        <v>763</v>
      </c>
      <c r="B151" s="111" t="s">
        <v>193</v>
      </c>
      <c r="C151" s="111" t="s">
        <v>136</v>
      </c>
      <c r="D151" s="111" t="s">
        <v>166</v>
      </c>
      <c r="E151" s="111" t="s">
        <v>774</v>
      </c>
      <c r="F151" s="111" t="s">
        <v>764</v>
      </c>
      <c r="G151" s="112"/>
      <c r="H151" s="78">
        <f>H152</f>
        <v>1108.7</v>
      </c>
      <c r="I151" s="78">
        <f>I152</f>
        <v>1108.7</v>
      </c>
      <c r="J151" s="113">
        <f t="shared" si="7"/>
        <v>0</v>
      </c>
      <c r="K151" s="78">
        <f>K152</f>
        <v>0</v>
      </c>
      <c r="L151" s="78">
        <f>L152</f>
        <v>0</v>
      </c>
    </row>
    <row r="152" spans="1:12" s="4" customFormat="1" ht="21" customHeight="1">
      <c r="A152" s="22" t="s">
        <v>94</v>
      </c>
      <c r="B152" s="111" t="s">
        <v>193</v>
      </c>
      <c r="C152" s="111" t="s">
        <v>136</v>
      </c>
      <c r="D152" s="111" t="s">
        <v>166</v>
      </c>
      <c r="E152" s="111" t="s">
        <v>774</v>
      </c>
      <c r="F152" s="111" t="s">
        <v>764</v>
      </c>
      <c r="G152" s="112" t="s">
        <v>95</v>
      </c>
      <c r="H152" s="78">
        <f>'Пр. 11'!I299</f>
        <v>1108.7</v>
      </c>
      <c r="I152" s="78">
        <f>'Пр. 11'!J299</f>
        <v>1108.7</v>
      </c>
      <c r="J152" s="113">
        <f t="shared" si="7"/>
        <v>0</v>
      </c>
      <c r="K152" s="78">
        <f>'Пр. 11'!L299</f>
        <v>0</v>
      </c>
      <c r="L152" s="78">
        <f>'Пр. 11'!M299</f>
        <v>0</v>
      </c>
    </row>
    <row r="153" spans="1:12" s="4" customFormat="1" ht="21" customHeight="1">
      <c r="A153" s="127" t="s">
        <v>775</v>
      </c>
      <c r="B153" s="111" t="s">
        <v>193</v>
      </c>
      <c r="C153" s="111" t="s">
        <v>136</v>
      </c>
      <c r="D153" s="111" t="s">
        <v>166</v>
      </c>
      <c r="E153" s="111" t="s">
        <v>776</v>
      </c>
      <c r="F153" s="111"/>
      <c r="G153" s="112"/>
      <c r="H153" s="131">
        <f>H154+H156</f>
        <v>403.3</v>
      </c>
      <c r="I153" s="131">
        <f>I154+I156</f>
        <v>403.3</v>
      </c>
      <c r="J153" s="113">
        <f t="shared" si="7"/>
        <v>0</v>
      </c>
      <c r="K153" s="131">
        <f>K154+K156</f>
        <v>30</v>
      </c>
      <c r="L153" s="131">
        <f>L154+L156</f>
        <v>30</v>
      </c>
    </row>
    <row r="154" spans="1:12" s="4" customFormat="1" ht="34.5" customHeight="1">
      <c r="A154" s="127" t="s">
        <v>763</v>
      </c>
      <c r="B154" s="111" t="s">
        <v>193</v>
      </c>
      <c r="C154" s="111" t="s">
        <v>136</v>
      </c>
      <c r="D154" s="111" t="s">
        <v>166</v>
      </c>
      <c r="E154" s="111" t="s">
        <v>776</v>
      </c>
      <c r="F154" s="111" t="s">
        <v>764</v>
      </c>
      <c r="G154" s="112"/>
      <c r="H154" s="78">
        <f>H155</f>
        <v>323.3</v>
      </c>
      <c r="I154" s="78">
        <f>I155</f>
        <v>323.3</v>
      </c>
      <c r="J154" s="113">
        <f t="shared" si="7"/>
        <v>0</v>
      </c>
      <c r="K154" s="78">
        <f>K155</f>
        <v>0</v>
      </c>
      <c r="L154" s="78">
        <f>L155</f>
        <v>0</v>
      </c>
    </row>
    <row r="155" spans="1:12" s="4" customFormat="1" ht="21" customHeight="1">
      <c r="A155" s="22" t="s">
        <v>94</v>
      </c>
      <c r="B155" s="111" t="s">
        <v>193</v>
      </c>
      <c r="C155" s="111" t="s">
        <v>136</v>
      </c>
      <c r="D155" s="111" t="s">
        <v>166</v>
      </c>
      <c r="E155" s="111" t="s">
        <v>776</v>
      </c>
      <c r="F155" s="111" t="s">
        <v>764</v>
      </c>
      <c r="G155" s="112" t="s">
        <v>95</v>
      </c>
      <c r="H155" s="78">
        <f>'Пр. 11'!I301</f>
        <v>323.3</v>
      </c>
      <c r="I155" s="78">
        <f>'Пр. 11'!J301</f>
        <v>323.3</v>
      </c>
      <c r="J155" s="113">
        <f t="shared" si="7"/>
        <v>0</v>
      </c>
      <c r="K155" s="78">
        <f>'Пр. 11'!L301</f>
        <v>0</v>
      </c>
      <c r="L155" s="78">
        <f>'Пр. 11'!M301</f>
        <v>0</v>
      </c>
    </row>
    <row r="156" spans="1:12" s="4" customFormat="1" ht="33" customHeight="1">
      <c r="A156" s="127" t="s">
        <v>758</v>
      </c>
      <c r="B156" s="111" t="s">
        <v>193</v>
      </c>
      <c r="C156" s="111" t="s">
        <v>136</v>
      </c>
      <c r="D156" s="111" t="s">
        <v>166</v>
      </c>
      <c r="E156" s="111" t="s">
        <v>776</v>
      </c>
      <c r="F156" s="111" t="s">
        <v>757</v>
      </c>
      <c r="G156" s="112"/>
      <c r="H156" s="78">
        <f>H157</f>
        <v>80</v>
      </c>
      <c r="I156" s="78">
        <f>I157</f>
        <v>80</v>
      </c>
      <c r="J156" s="113">
        <f t="shared" si="7"/>
        <v>0</v>
      </c>
      <c r="K156" s="78">
        <f>K157</f>
        <v>30</v>
      </c>
      <c r="L156" s="78">
        <f>L157</f>
        <v>30</v>
      </c>
    </row>
    <row r="157" spans="1:12" s="4" customFormat="1" ht="21" customHeight="1">
      <c r="A157" s="119" t="s">
        <v>104</v>
      </c>
      <c r="B157" s="111" t="s">
        <v>193</v>
      </c>
      <c r="C157" s="111" t="s">
        <v>136</v>
      </c>
      <c r="D157" s="111" t="s">
        <v>166</v>
      </c>
      <c r="E157" s="111" t="s">
        <v>776</v>
      </c>
      <c r="F157" s="111" t="s">
        <v>757</v>
      </c>
      <c r="G157" s="112" t="s">
        <v>105</v>
      </c>
      <c r="H157" s="78">
        <f>'Пр. 11'!I372</f>
        <v>80</v>
      </c>
      <c r="I157" s="78">
        <f>'Пр. 11'!J372</f>
        <v>80</v>
      </c>
      <c r="J157" s="113">
        <f t="shared" si="7"/>
        <v>0</v>
      </c>
      <c r="K157" s="78">
        <f>'Пр. 11'!L372</f>
        <v>30</v>
      </c>
      <c r="L157" s="78">
        <f>'Пр. 11'!M372</f>
        <v>30</v>
      </c>
    </row>
    <row r="158" spans="1:12" s="4" customFormat="1" ht="34.5" customHeight="1">
      <c r="A158" s="127" t="s">
        <v>1257</v>
      </c>
      <c r="B158" s="111" t="s">
        <v>193</v>
      </c>
      <c r="C158" s="111" t="s">
        <v>136</v>
      </c>
      <c r="D158" s="111" t="s">
        <v>166</v>
      </c>
      <c r="E158" s="111" t="s">
        <v>1258</v>
      </c>
      <c r="F158" s="111"/>
      <c r="G158" s="112"/>
      <c r="H158" s="78">
        <f>H159+H161</f>
        <v>0</v>
      </c>
      <c r="I158" s="78">
        <f>I159+I161</f>
        <v>504</v>
      </c>
      <c r="J158" s="113">
        <f t="shared" si="7"/>
        <v>504</v>
      </c>
      <c r="K158" s="78">
        <f>K159+K161</f>
        <v>0</v>
      </c>
      <c r="L158" s="78">
        <f>L159+L161</f>
        <v>0</v>
      </c>
    </row>
    <row r="159" spans="1:12" s="4" customFormat="1" ht="32.25" customHeight="1">
      <c r="A159" s="127" t="s">
        <v>763</v>
      </c>
      <c r="B159" s="111" t="s">
        <v>193</v>
      </c>
      <c r="C159" s="111" t="s">
        <v>136</v>
      </c>
      <c r="D159" s="111" t="s">
        <v>166</v>
      </c>
      <c r="E159" s="111" t="s">
        <v>1258</v>
      </c>
      <c r="F159" s="111" t="s">
        <v>764</v>
      </c>
      <c r="G159" s="112"/>
      <c r="H159" s="78">
        <f>H160</f>
        <v>0</v>
      </c>
      <c r="I159" s="78">
        <f>I160</f>
        <v>504</v>
      </c>
      <c r="J159" s="113">
        <f t="shared" si="7"/>
        <v>504</v>
      </c>
      <c r="K159" s="78">
        <f>K160</f>
        <v>0</v>
      </c>
      <c r="L159" s="78">
        <f>L160</f>
        <v>0</v>
      </c>
    </row>
    <row r="160" spans="1:12" s="4" customFormat="1" ht="24" customHeight="1">
      <c r="A160" s="22" t="s">
        <v>94</v>
      </c>
      <c r="B160" s="111" t="s">
        <v>193</v>
      </c>
      <c r="C160" s="111" t="s">
        <v>136</v>
      </c>
      <c r="D160" s="111" t="s">
        <v>166</v>
      </c>
      <c r="E160" s="111" t="s">
        <v>1258</v>
      </c>
      <c r="F160" s="111" t="s">
        <v>764</v>
      </c>
      <c r="G160" s="112" t="s">
        <v>95</v>
      </c>
      <c r="H160" s="78">
        <f>'Пр. 11'!I303</f>
        <v>0</v>
      </c>
      <c r="I160" s="78">
        <f>'Пр. 11'!J303</f>
        <v>504</v>
      </c>
      <c r="J160" s="113">
        <f t="shared" si="7"/>
        <v>504</v>
      </c>
      <c r="K160" s="78">
        <f>'Пр. 11'!L303</f>
        <v>0</v>
      </c>
      <c r="L160" s="78">
        <f>'Пр. 11'!M303</f>
        <v>0</v>
      </c>
    </row>
    <row r="161" spans="1:12" s="4" customFormat="1" ht="36" customHeight="1" hidden="1">
      <c r="A161" s="127" t="s">
        <v>758</v>
      </c>
      <c r="B161" s="111" t="s">
        <v>193</v>
      </c>
      <c r="C161" s="111" t="s">
        <v>136</v>
      </c>
      <c r="D161" s="111" t="s">
        <v>166</v>
      </c>
      <c r="E161" s="111" t="s">
        <v>1258</v>
      </c>
      <c r="F161" s="111" t="s">
        <v>757</v>
      </c>
      <c r="G161" s="112"/>
      <c r="H161" s="78">
        <f>H162</f>
        <v>0</v>
      </c>
      <c r="I161" s="78">
        <f>I162</f>
        <v>0</v>
      </c>
      <c r="J161" s="113">
        <f t="shared" si="7"/>
        <v>0</v>
      </c>
      <c r="K161" s="78">
        <f>K162</f>
        <v>0</v>
      </c>
      <c r="L161" s="78">
        <f>L162</f>
        <v>0</v>
      </c>
    </row>
    <row r="162" spans="1:12" s="4" customFormat="1" ht="21" customHeight="1" hidden="1">
      <c r="A162" s="119" t="s">
        <v>104</v>
      </c>
      <c r="B162" s="111" t="s">
        <v>193</v>
      </c>
      <c r="C162" s="111" t="s">
        <v>136</v>
      </c>
      <c r="D162" s="111" t="s">
        <v>166</v>
      </c>
      <c r="E162" s="111" t="s">
        <v>1258</v>
      </c>
      <c r="F162" s="111" t="s">
        <v>757</v>
      </c>
      <c r="G162" s="112" t="s">
        <v>105</v>
      </c>
      <c r="H162" s="78">
        <f>'Пр. 11'!I374</f>
        <v>0</v>
      </c>
      <c r="I162" s="78">
        <f>'Пр. 11'!J374</f>
        <v>0</v>
      </c>
      <c r="J162" s="113">
        <f t="shared" si="7"/>
        <v>0</v>
      </c>
      <c r="K162" s="78">
        <f>'Пр. 11'!L374</f>
        <v>0</v>
      </c>
      <c r="L162" s="78">
        <f>'Пр. 11'!M374</f>
        <v>0</v>
      </c>
    </row>
    <row r="163" spans="1:12" s="4" customFormat="1" ht="30" customHeight="1" hidden="1">
      <c r="A163" s="22" t="s">
        <v>210</v>
      </c>
      <c r="B163" s="111" t="s">
        <v>193</v>
      </c>
      <c r="C163" s="111" t="s">
        <v>136</v>
      </c>
      <c r="D163" s="111" t="s">
        <v>166</v>
      </c>
      <c r="E163" s="111" t="s">
        <v>211</v>
      </c>
      <c r="F163" s="111"/>
      <c r="G163" s="112"/>
      <c r="H163" s="78">
        <f>H164</f>
        <v>0</v>
      </c>
      <c r="I163" s="78">
        <f>I164</f>
        <v>0</v>
      </c>
      <c r="J163" s="113">
        <f t="shared" si="7"/>
        <v>0</v>
      </c>
      <c r="K163" s="131">
        <f>K164</f>
        <v>0</v>
      </c>
      <c r="L163" s="131">
        <f>L164</f>
        <v>0</v>
      </c>
    </row>
    <row r="164" spans="1:12" s="4" customFormat="1" ht="26.25" customHeight="1" hidden="1">
      <c r="A164" s="119" t="s">
        <v>763</v>
      </c>
      <c r="B164" s="111" t="s">
        <v>193</v>
      </c>
      <c r="C164" s="111" t="s">
        <v>136</v>
      </c>
      <c r="D164" s="111" t="s">
        <v>166</v>
      </c>
      <c r="E164" s="111" t="s">
        <v>211</v>
      </c>
      <c r="F164" s="111" t="s">
        <v>764</v>
      </c>
      <c r="G164" s="112"/>
      <c r="H164" s="78">
        <f>H165</f>
        <v>0</v>
      </c>
      <c r="I164" s="78">
        <f>I165</f>
        <v>0</v>
      </c>
      <c r="J164" s="113">
        <f t="shared" si="7"/>
        <v>0</v>
      </c>
      <c r="K164" s="131">
        <f>K165</f>
        <v>0</v>
      </c>
      <c r="L164" s="131">
        <f>L165</f>
        <v>0</v>
      </c>
    </row>
    <row r="165" spans="1:12" s="4" customFormat="1" ht="27.75" customHeight="1" hidden="1">
      <c r="A165" s="22" t="s">
        <v>94</v>
      </c>
      <c r="B165" s="111" t="s">
        <v>193</v>
      </c>
      <c r="C165" s="111" t="s">
        <v>136</v>
      </c>
      <c r="D165" s="111" t="s">
        <v>166</v>
      </c>
      <c r="E165" s="111" t="s">
        <v>211</v>
      </c>
      <c r="F165" s="111" t="s">
        <v>764</v>
      </c>
      <c r="G165" s="112" t="s">
        <v>95</v>
      </c>
      <c r="H165" s="78">
        <f>'Пр. 11'!I305</f>
        <v>0</v>
      </c>
      <c r="I165" s="78">
        <f>'Пр. 11'!J305</f>
        <v>0</v>
      </c>
      <c r="J165" s="113">
        <f t="shared" si="7"/>
        <v>0</v>
      </c>
      <c r="K165" s="78">
        <f>'Пр. 11'!L305</f>
        <v>0</v>
      </c>
      <c r="L165" s="78">
        <f>'Пр. 11'!M305</f>
        <v>0</v>
      </c>
    </row>
    <row r="166" spans="1:12" s="4" customFormat="1" ht="25.5" customHeight="1" hidden="1">
      <c r="A166" s="127" t="s">
        <v>780</v>
      </c>
      <c r="B166" s="111" t="s">
        <v>193</v>
      </c>
      <c r="C166" s="111" t="s">
        <v>136</v>
      </c>
      <c r="D166" s="111" t="s">
        <v>166</v>
      </c>
      <c r="E166" s="111" t="s">
        <v>781</v>
      </c>
      <c r="F166" s="111"/>
      <c r="G166" s="112"/>
      <c r="H166" s="78">
        <f>H167+H169+H171</f>
        <v>0</v>
      </c>
      <c r="I166" s="78">
        <f>I167+I169+I171</f>
        <v>0</v>
      </c>
      <c r="J166" s="113">
        <f t="shared" si="7"/>
        <v>0</v>
      </c>
      <c r="K166" s="78">
        <f>K167+K169+K171</f>
        <v>0</v>
      </c>
      <c r="L166" s="78">
        <f>L167+L169+L171</f>
        <v>0</v>
      </c>
    </row>
    <row r="167" spans="1:12" s="4" customFormat="1" ht="21.75" customHeight="1" hidden="1">
      <c r="A167" s="127" t="s">
        <v>758</v>
      </c>
      <c r="B167" s="111" t="s">
        <v>193</v>
      </c>
      <c r="C167" s="111" t="s">
        <v>136</v>
      </c>
      <c r="D167" s="111" t="s">
        <v>166</v>
      </c>
      <c r="E167" s="111" t="s">
        <v>781</v>
      </c>
      <c r="F167" s="111" t="s">
        <v>757</v>
      </c>
      <c r="G167" s="112"/>
      <c r="H167" s="78">
        <f>H168</f>
        <v>0</v>
      </c>
      <c r="I167" s="78">
        <f>I168</f>
        <v>0</v>
      </c>
      <c r="J167" s="113">
        <f t="shared" si="7"/>
        <v>0</v>
      </c>
      <c r="K167" s="78">
        <f>K168</f>
        <v>0</v>
      </c>
      <c r="L167" s="78">
        <f>L168</f>
        <v>0</v>
      </c>
    </row>
    <row r="168" spans="1:12" s="4" customFormat="1" ht="19.5" customHeight="1" hidden="1">
      <c r="A168" s="119" t="s">
        <v>104</v>
      </c>
      <c r="B168" s="111" t="s">
        <v>193</v>
      </c>
      <c r="C168" s="111" t="s">
        <v>136</v>
      </c>
      <c r="D168" s="111" t="s">
        <v>166</v>
      </c>
      <c r="E168" s="111" t="s">
        <v>781</v>
      </c>
      <c r="F168" s="111" t="s">
        <v>757</v>
      </c>
      <c r="G168" s="112" t="s">
        <v>105</v>
      </c>
      <c r="H168" s="78">
        <f>'Пр. 11'!I376</f>
        <v>0</v>
      </c>
      <c r="I168" s="78">
        <f>'Пр. 11'!J376</f>
        <v>0</v>
      </c>
      <c r="J168" s="113">
        <f t="shared" si="7"/>
        <v>0</v>
      </c>
      <c r="K168" s="78">
        <f>'Пр. 11'!L376</f>
        <v>0</v>
      </c>
      <c r="L168" s="78">
        <f>'Пр. 11'!M376</f>
        <v>0</v>
      </c>
    </row>
    <row r="169" spans="1:12" s="4" customFormat="1" ht="21.75" customHeight="1" hidden="1">
      <c r="A169" s="119" t="s">
        <v>767</v>
      </c>
      <c r="B169" s="111" t="s">
        <v>193</v>
      </c>
      <c r="C169" s="111" t="s">
        <v>136</v>
      </c>
      <c r="D169" s="111" t="s">
        <v>166</v>
      </c>
      <c r="E169" s="111" t="s">
        <v>781</v>
      </c>
      <c r="F169" s="111" t="s">
        <v>766</v>
      </c>
      <c r="G169" s="112"/>
      <c r="H169" s="78">
        <f>H170</f>
        <v>0</v>
      </c>
      <c r="I169" s="78">
        <f>I170</f>
        <v>0</v>
      </c>
      <c r="J169" s="113">
        <f t="shared" si="7"/>
        <v>0</v>
      </c>
      <c r="K169" s="78">
        <f>K170</f>
        <v>0</v>
      </c>
      <c r="L169" s="78">
        <f>L170</f>
        <v>0</v>
      </c>
    </row>
    <row r="170" spans="1:12" s="4" customFormat="1" ht="27.75" customHeight="1" hidden="1">
      <c r="A170" s="119" t="s">
        <v>104</v>
      </c>
      <c r="B170" s="111" t="s">
        <v>193</v>
      </c>
      <c r="C170" s="111" t="s">
        <v>136</v>
      </c>
      <c r="D170" s="111" t="s">
        <v>166</v>
      </c>
      <c r="E170" s="111" t="s">
        <v>781</v>
      </c>
      <c r="F170" s="111" t="s">
        <v>766</v>
      </c>
      <c r="G170" s="112" t="s">
        <v>105</v>
      </c>
      <c r="H170" s="78">
        <f>'Пр. 11'!I377</f>
        <v>0</v>
      </c>
      <c r="I170" s="78">
        <f>'Пр. 11'!J377</f>
        <v>0</v>
      </c>
      <c r="J170" s="113">
        <f t="shared" si="7"/>
        <v>0</v>
      </c>
      <c r="K170" s="78">
        <f>'Пр. 11'!L377</f>
        <v>0</v>
      </c>
      <c r="L170" s="78">
        <f>'Пр. 11'!M377</f>
        <v>0</v>
      </c>
    </row>
    <row r="171" spans="1:12" s="4" customFormat="1" ht="26.25" customHeight="1" hidden="1">
      <c r="A171" s="119" t="s">
        <v>763</v>
      </c>
      <c r="B171" s="111" t="s">
        <v>193</v>
      </c>
      <c r="C171" s="111" t="s">
        <v>136</v>
      </c>
      <c r="D171" s="111" t="s">
        <v>166</v>
      </c>
      <c r="E171" s="111" t="s">
        <v>781</v>
      </c>
      <c r="F171" s="111" t="s">
        <v>764</v>
      </c>
      <c r="G171" s="112"/>
      <c r="H171" s="78">
        <f>H172</f>
        <v>0</v>
      </c>
      <c r="I171" s="78">
        <f>I172</f>
        <v>0</v>
      </c>
      <c r="J171" s="113">
        <f t="shared" si="7"/>
        <v>0</v>
      </c>
      <c r="K171" s="78">
        <f>K172</f>
        <v>0</v>
      </c>
      <c r="L171" s="78">
        <f>L172</f>
        <v>0</v>
      </c>
    </row>
    <row r="172" spans="1:12" s="4" customFormat="1" ht="30" customHeight="1" hidden="1">
      <c r="A172" s="22" t="s">
        <v>94</v>
      </c>
      <c r="B172" s="111" t="s">
        <v>193</v>
      </c>
      <c r="C172" s="111" t="s">
        <v>136</v>
      </c>
      <c r="D172" s="111" t="s">
        <v>166</v>
      </c>
      <c r="E172" s="111" t="s">
        <v>781</v>
      </c>
      <c r="F172" s="111" t="s">
        <v>764</v>
      </c>
      <c r="G172" s="112" t="s">
        <v>95</v>
      </c>
      <c r="H172" s="78">
        <f>'Пр. 11'!I307</f>
        <v>0</v>
      </c>
      <c r="I172" s="78">
        <f>'Пр. 11'!J307</f>
        <v>0</v>
      </c>
      <c r="J172" s="113">
        <f t="shared" si="7"/>
        <v>0</v>
      </c>
      <c r="K172" s="78">
        <f>'Пр. 11'!L307</f>
        <v>0</v>
      </c>
      <c r="L172" s="78">
        <f>'Пр. 11'!M307</f>
        <v>0</v>
      </c>
    </row>
    <row r="173" spans="1:12" s="4" customFormat="1" ht="22.5" customHeight="1">
      <c r="A173" s="127" t="s">
        <v>780</v>
      </c>
      <c r="B173" s="111" t="s">
        <v>193</v>
      </c>
      <c r="C173" s="111" t="s">
        <v>136</v>
      </c>
      <c r="D173" s="111" t="s">
        <v>166</v>
      </c>
      <c r="E173" s="111" t="s">
        <v>851</v>
      </c>
      <c r="F173" s="111"/>
      <c r="G173" s="112"/>
      <c r="H173" s="78">
        <f>H178+H176+H174</f>
        <v>4555.5</v>
      </c>
      <c r="I173" s="78">
        <f>I178+I176+I174</f>
        <v>4555.5</v>
      </c>
      <c r="J173" s="113">
        <f t="shared" si="7"/>
        <v>0</v>
      </c>
      <c r="K173" s="78">
        <f>K178+K176+K174</f>
        <v>788.4000000000001</v>
      </c>
      <c r="L173" s="78">
        <f>L178+L176+L174</f>
        <v>788.4000000000001</v>
      </c>
    </row>
    <row r="174" spans="1:12" s="4" customFormat="1" ht="36.75" customHeight="1">
      <c r="A174" s="127" t="s">
        <v>758</v>
      </c>
      <c r="B174" s="111" t="s">
        <v>193</v>
      </c>
      <c r="C174" s="111" t="s">
        <v>136</v>
      </c>
      <c r="D174" s="111" t="s">
        <v>166</v>
      </c>
      <c r="E174" s="111" t="s">
        <v>851</v>
      </c>
      <c r="F174" s="111" t="s">
        <v>757</v>
      </c>
      <c r="G174" s="112"/>
      <c r="H174" s="78">
        <f>H175</f>
        <v>3277.1</v>
      </c>
      <c r="I174" s="78">
        <f>I175</f>
        <v>3277.1</v>
      </c>
      <c r="J174" s="113">
        <f t="shared" si="7"/>
        <v>0</v>
      </c>
      <c r="K174" s="78">
        <f>K175</f>
        <v>0</v>
      </c>
      <c r="L174" s="78">
        <f>L175</f>
        <v>0</v>
      </c>
    </row>
    <row r="175" spans="1:12" s="4" customFormat="1" ht="22.5" customHeight="1">
      <c r="A175" s="119" t="s">
        <v>104</v>
      </c>
      <c r="B175" s="111" t="s">
        <v>193</v>
      </c>
      <c r="C175" s="111" t="s">
        <v>136</v>
      </c>
      <c r="D175" s="111" t="s">
        <v>166</v>
      </c>
      <c r="E175" s="111" t="s">
        <v>851</v>
      </c>
      <c r="F175" s="111" t="s">
        <v>757</v>
      </c>
      <c r="G175" s="112" t="s">
        <v>105</v>
      </c>
      <c r="H175" s="78">
        <f>'Пр. 11'!I379</f>
        <v>3277.1</v>
      </c>
      <c r="I175" s="78">
        <f>'Пр. 11'!J379</f>
        <v>3277.1</v>
      </c>
      <c r="J175" s="113">
        <f t="shared" si="7"/>
        <v>0</v>
      </c>
      <c r="K175" s="78"/>
      <c r="L175" s="78"/>
    </row>
    <row r="176" spans="1:12" s="4" customFormat="1" ht="19.5" customHeight="1">
      <c r="A176" s="127" t="s">
        <v>767</v>
      </c>
      <c r="B176" s="111" t="s">
        <v>193</v>
      </c>
      <c r="C176" s="111" t="s">
        <v>136</v>
      </c>
      <c r="D176" s="111" t="s">
        <v>166</v>
      </c>
      <c r="E176" s="111" t="s">
        <v>851</v>
      </c>
      <c r="F176" s="111" t="s">
        <v>766</v>
      </c>
      <c r="G176" s="112"/>
      <c r="H176" s="78">
        <f>H177</f>
        <v>896.8000000000001</v>
      </c>
      <c r="I176" s="78">
        <f>I177</f>
        <v>896.8000000000001</v>
      </c>
      <c r="J176" s="113">
        <f t="shared" si="7"/>
        <v>0</v>
      </c>
      <c r="K176" s="78">
        <f>K177</f>
        <v>406.8</v>
      </c>
      <c r="L176" s="78">
        <f>L177</f>
        <v>406.8</v>
      </c>
    </row>
    <row r="177" spans="1:12" s="4" customFormat="1" ht="20.25" customHeight="1">
      <c r="A177" s="119" t="s">
        <v>104</v>
      </c>
      <c r="B177" s="111" t="s">
        <v>193</v>
      </c>
      <c r="C177" s="111" t="s">
        <v>136</v>
      </c>
      <c r="D177" s="111" t="s">
        <v>166</v>
      </c>
      <c r="E177" s="111" t="s">
        <v>851</v>
      </c>
      <c r="F177" s="111" t="s">
        <v>766</v>
      </c>
      <c r="G177" s="112" t="s">
        <v>105</v>
      </c>
      <c r="H177" s="78">
        <f>'Пр. 11'!I380</f>
        <v>896.8000000000001</v>
      </c>
      <c r="I177" s="78">
        <f>'Пр. 11'!J380</f>
        <v>896.8000000000001</v>
      </c>
      <c r="J177" s="113">
        <f t="shared" si="7"/>
        <v>0</v>
      </c>
      <c r="K177" s="78">
        <f>'Пр. 11'!L380</f>
        <v>406.8</v>
      </c>
      <c r="L177" s="78">
        <f>'Пр. 11'!M380</f>
        <v>406.8</v>
      </c>
    </row>
    <row r="178" spans="1:12" s="4" customFormat="1" ht="33" customHeight="1">
      <c r="A178" s="119" t="s">
        <v>763</v>
      </c>
      <c r="B178" s="111" t="s">
        <v>193</v>
      </c>
      <c r="C178" s="111" t="s">
        <v>136</v>
      </c>
      <c r="D178" s="111" t="s">
        <v>166</v>
      </c>
      <c r="E178" s="111" t="s">
        <v>851</v>
      </c>
      <c r="F178" s="111" t="s">
        <v>764</v>
      </c>
      <c r="G178" s="112"/>
      <c r="H178" s="78">
        <f>H179</f>
        <v>381.6</v>
      </c>
      <c r="I178" s="78">
        <f>I179</f>
        <v>381.6</v>
      </c>
      <c r="J178" s="113">
        <f t="shared" si="7"/>
        <v>0</v>
      </c>
      <c r="K178" s="78">
        <f>K179</f>
        <v>381.6</v>
      </c>
      <c r="L178" s="78">
        <f>L179</f>
        <v>381.6</v>
      </c>
    </row>
    <row r="179" spans="1:12" s="4" customFormat="1" ht="20.25" customHeight="1">
      <c r="A179" s="22" t="s">
        <v>94</v>
      </c>
      <c r="B179" s="111" t="s">
        <v>193</v>
      </c>
      <c r="C179" s="111" t="s">
        <v>136</v>
      </c>
      <c r="D179" s="111" t="s">
        <v>166</v>
      </c>
      <c r="E179" s="111" t="s">
        <v>851</v>
      </c>
      <c r="F179" s="111" t="s">
        <v>764</v>
      </c>
      <c r="G179" s="112" t="s">
        <v>95</v>
      </c>
      <c r="H179" s="78">
        <f>'Пр. 11'!I309</f>
        <v>381.6</v>
      </c>
      <c r="I179" s="78">
        <f>'Пр. 11'!J309</f>
        <v>381.6</v>
      </c>
      <c r="J179" s="113">
        <f t="shared" si="7"/>
        <v>0</v>
      </c>
      <c r="K179" s="78">
        <f>'Пр. 11'!L309</f>
        <v>381.6</v>
      </c>
      <c r="L179" s="78">
        <f>'Пр. 11'!M309</f>
        <v>381.6</v>
      </c>
    </row>
    <row r="180" spans="1:12" s="5" customFormat="1" ht="45" customHeight="1">
      <c r="A180" s="109" t="s">
        <v>199</v>
      </c>
      <c r="B180" s="71" t="s">
        <v>193</v>
      </c>
      <c r="C180" s="71" t="s">
        <v>137</v>
      </c>
      <c r="D180" s="71" t="s">
        <v>155</v>
      </c>
      <c r="E180" s="71" t="s">
        <v>156</v>
      </c>
      <c r="F180" s="71"/>
      <c r="G180" s="107"/>
      <c r="H180" s="37">
        <f>H181</f>
        <v>2980.6</v>
      </c>
      <c r="I180" s="37">
        <f>I181</f>
        <v>3716.4</v>
      </c>
      <c r="J180" s="108">
        <f t="shared" si="2"/>
        <v>735.8000000000002</v>
      </c>
      <c r="K180" s="37">
        <f>K181</f>
        <v>3299.1000000000004</v>
      </c>
      <c r="L180" s="37">
        <f>L181</f>
        <v>3422.4</v>
      </c>
    </row>
    <row r="181" spans="1:12" s="5" customFormat="1" ht="35.25" customHeight="1">
      <c r="A181" s="109" t="s">
        <v>892</v>
      </c>
      <c r="B181" s="71" t="s">
        <v>193</v>
      </c>
      <c r="C181" s="71" t="s">
        <v>137</v>
      </c>
      <c r="D181" s="71" t="s">
        <v>153</v>
      </c>
      <c r="E181" s="71" t="s">
        <v>156</v>
      </c>
      <c r="F181" s="71"/>
      <c r="G181" s="107"/>
      <c r="H181" s="37">
        <f>H187+H182+H190+H193</f>
        <v>2980.6</v>
      </c>
      <c r="I181" s="37">
        <f>I187+I182+I190+I193</f>
        <v>3716.4</v>
      </c>
      <c r="J181" s="108">
        <f t="shared" si="2"/>
        <v>735.8000000000002</v>
      </c>
      <c r="K181" s="37">
        <f>K187+K182+K190+K193</f>
        <v>3299.1000000000004</v>
      </c>
      <c r="L181" s="37">
        <f>L187+L182+L190+L193</f>
        <v>3422.4</v>
      </c>
    </row>
    <row r="182" spans="1:12" s="4" customFormat="1" ht="55.5" customHeight="1">
      <c r="A182" s="119" t="s">
        <v>953</v>
      </c>
      <c r="B182" s="111" t="s">
        <v>193</v>
      </c>
      <c r="C182" s="111" t="s">
        <v>137</v>
      </c>
      <c r="D182" s="111" t="s">
        <v>153</v>
      </c>
      <c r="E182" s="111" t="s">
        <v>204</v>
      </c>
      <c r="F182" s="111"/>
      <c r="G182" s="112"/>
      <c r="H182" s="78">
        <f>H183+H185</f>
        <v>422.70000000000005</v>
      </c>
      <c r="I182" s="78">
        <f>I183+I185</f>
        <v>793.5000000000001</v>
      </c>
      <c r="J182" s="113">
        <f>I182-H182</f>
        <v>370.80000000000007</v>
      </c>
      <c r="K182" s="78">
        <f>K183+K185</f>
        <v>432.4</v>
      </c>
      <c r="L182" s="78">
        <f>L183+L185</f>
        <v>442.09999999999997</v>
      </c>
    </row>
    <row r="183" spans="1:12" s="4" customFormat="1" ht="34.5" customHeight="1">
      <c r="A183" s="119" t="s">
        <v>758</v>
      </c>
      <c r="B183" s="111" t="s">
        <v>193</v>
      </c>
      <c r="C183" s="111" t="s">
        <v>137</v>
      </c>
      <c r="D183" s="111" t="s">
        <v>153</v>
      </c>
      <c r="E183" s="111" t="s">
        <v>204</v>
      </c>
      <c r="F183" s="111" t="s">
        <v>757</v>
      </c>
      <c r="G183" s="112"/>
      <c r="H183" s="78">
        <f>H184</f>
        <v>39.6</v>
      </c>
      <c r="I183" s="78">
        <f>I184</f>
        <v>39.6</v>
      </c>
      <c r="J183" s="113">
        <f>I183-H183</f>
        <v>0</v>
      </c>
      <c r="K183" s="78">
        <f>K184</f>
        <v>40.5</v>
      </c>
      <c r="L183" s="78">
        <f>L184</f>
        <v>41.4</v>
      </c>
    </row>
    <row r="184" spans="1:12" s="4" customFormat="1" ht="17.25" customHeight="1">
      <c r="A184" s="119" t="s">
        <v>104</v>
      </c>
      <c r="B184" s="111" t="s">
        <v>193</v>
      </c>
      <c r="C184" s="111" t="s">
        <v>137</v>
      </c>
      <c r="D184" s="111" t="s">
        <v>153</v>
      </c>
      <c r="E184" s="111" t="s">
        <v>204</v>
      </c>
      <c r="F184" s="111" t="s">
        <v>757</v>
      </c>
      <c r="G184" s="112" t="s">
        <v>105</v>
      </c>
      <c r="H184" s="78">
        <f>'Пр. 11'!I384</f>
        <v>39.6</v>
      </c>
      <c r="I184" s="78">
        <f>'Пр. 11'!J384</f>
        <v>39.6</v>
      </c>
      <c r="J184" s="113">
        <f>I184-H184</f>
        <v>0</v>
      </c>
      <c r="K184" s="78">
        <f>'Пр. 11'!L384</f>
        <v>40.5</v>
      </c>
      <c r="L184" s="78">
        <f>'Пр. 11'!M384</f>
        <v>41.4</v>
      </c>
    </row>
    <row r="185" spans="1:12" s="4" customFormat="1" ht="39.75" customHeight="1">
      <c r="A185" s="119" t="s">
        <v>763</v>
      </c>
      <c r="B185" s="111" t="s">
        <v>193</v>
      </c>
      <c r="C185" s="111" t="s">
        <v>137</v>
      </c>
      <c r="D185" s="111" t="s">
        <v>153</v>
      </c>
      <c r="E185" s="111" t="s">
        <v>204</v>
      </c>
      <c r="F185" s="111" t="s">
        <v>764</v>
      </c>
      <c r="G185" s="112"/>
      <c r="H185" s="78">
        <f>H186</f>
        <v>383.1</v>
      </c>
      <c r="I185" s="78">
        <f>I186</f>
        <v>753.9000000000001</v>
      </c>
      <c r="J185" s="113">
        <f>I185-H185</f>
        <v>370.80000000000007</v>
      </c>
      <c r="K185" s="78">
        <f>K186</f>
        <v>391.9</v>
      </c>
      <c r="L185" s="78">
        <f>L186</f>
        <v>400.7</v>
      </c>
    </row>
    <row r="186" spans="1:12" s="4" customFormat="1" ht="17.25" customHeight="1">
      <c r="A186" s="22" t="s">
        <v>94</v>
      </c>
      <c r="B186" s="111" t="s">
        <v>193</v>
      </c>
      <c r="C186" s="111" t="s">
        <v>137</v>
      </c>
      <c r="D186" s="111" t="s">
        <v>153</v>
      </c>
      <c r="E186" s="111" t="s">
        <v>204</v>
      </c>
      <c r="F186" s="111" t="s">
        <v>764</v>
      </c>
      <c r="G186" s="112" t="s">
        <v>95</v>
      </c>
      <c r="H186" s="78">
        <f>'Пр. 11'!I313</f>
        <v>383.1</v>
      </c>
      <c r="I186" s="78">
        <f>'Пр. 11'!J313</f>
        <v>753.9000000000001</v>
      </c>
      <c r="J186" s="113">
        <f>I186-H186</f>
        <v>370.80000000000007</v>
      </c>
      <c r="K186" s="78">
        <f>'Пр. 11'!L313</f>
        <v>391.9</v>
      </c>
      <c r="L186" s="78">
        <f>'Пр. 11'!M313</f>
        <v>400.7</v>
      </c>
    </row>
    <row r="187" spans="1:12" s="4" customFormat="1" ht="18" customHeight="1">
      <c r="A187" s="119" t="s">
        <v>202</v>
      </c>
      <c r="B187" s="111" t="s">
        <v>193</v>
      </c>
      <c r="C187" s="111" t="s">
        <v>137</v>
      </c>
      <c r="D187" s="111" t="s">
        <v>153</v>
      </c>
      <c r="E187" s="111" t="s">
        <v>203</v>
      </c>
      <c r="F187" s="111"/>
      <c r="G187" s="112"/>
      <c r="H187" s="78">
        <f>H188</f>
        <v>51.8</v>
      </c>
      <c r="I187" s="78">
        <f>I188</f>
        <v>51.8</v>
      </c>
      <c r="J187" s="113">
        <f aca="true" t="shared" si="8" ref="J187:J197">I187-H187</f>
        <v>0</v>
      </c>
      <c r="K187" s="78">
        <f>K188</f>
        <v>53</v>
      </c>
      <c r="L187" s="78">
        <f>L188</f>
        <v>54.2</v>
      </c>
    </row>
    <row r="188" spans="1:12" s="4" customFormat="1" ht="38.25" customHeight="1">
      <c r="A188" s="119" t="s">
        <v>763</v>
      </c>
      <c r="B188" s="111" t="s">
        <v>193</v>
      </c>
      <c r="C188" s="111" t="s">
        <v>137</v>
      </c>
      <c r="D188" s="111" t="s">
        <v>153</v>
      </c>
      <c r="E188" s="111" t="s">
        <v>203</v>
      </c>
      <c r="F188" s="111" t="s">
        <v>764</v>
      </c>
      <c r="G188" s="112"/>
      <c r="H188" s="78">
        <f>H189</f>
        <v>51.8</v>
      </c>
      <c r="I188" s="78">
        <f>I189</f>
        <v>51.8</v>
      </c>
      <c r="J188" s="113">
        <f t="shared" si="8"/>
        <v>0</v>
      </c>
      <c r="K188" s="78">
        <f>K189</f>
        <v>53</v>
      </c>
      <c r="L188" s="78">
        <f>L189</f>
        <v>54.2</v>
      </c>
    </row>
    <row r="189" spans="1:12" s="4" customFormat="1" ht="17.25" customHeight="1">
      <c r="A189" s="22" t="s">
        <v>94</v>
      </c>
      <c r="B189" s="111" t="s">
        <v>193</v>
      </c>
      <c r="C189" s="111" t="s">
        <v>137</v>
      </c>
      <c r="D189" s="111" t="s">
        <v>153</v>
      </c>
      <c r="E189" s="111" t="s">
        <v>203</v>
      </c>
      <c r="F189" s="111" t="s">
        <v>764</v>
      </c>
      <c r="G189" s="112" t="s">
        <v>95</v>
      </c>
      <c r="H189" s="78">
        <f>'Пр. 11'!I315</f>
        <v>51.8</v>
      </c>
      <c r="I189" s="78">
        <f>'Пр. 11'!J315</f>
        <v>51.8</v>
      </c>
      <c r="J189" s="113">
        <f t="shared" si="8"/>
        <v>0</v>
      </c>
      <c r="K189" s="78">
        <f>'Пр. 11'!L315</f>
        <v>53</v>
      </c>
      <c r="L189" s="78">
        <f>'Пр. 11'!M315</f>
        <v>54.2</v>
      </c>
    </row>
    <row r="190" spans="1:12" s="4" customFormat="1" ht="37.5" customHeight="1">
      <c r="A190" s="114" t="s">
        <v>205</v>
      </c>
      <c r="B190" s="111" t="s">
        <v>193</v>
      </c>
      <c r="C190" s="111" t="s">
        <v>137</v>
      </c>
      <c r="D190" s="111" t="s">
        <v>153</v>
      </c>
      <c r="E190" s="111" t="s">
        <v>206</v>
      </c>
      <c r="F190" s="111"/>
      <c r="G190" s="112"/>
      <c r="H190" s="78">
        <f>H191</f>
        <v>1739.1</v>
      </c>
      <c r="I190" s="78">
        <f>I191</f>
        <v>1739.1</v>
      </c>
      <c r="J190" s="113">
        <f t="shared" si="8"/>
        <v>0</v>
      </c>
      <c r="K190" s="78">
        <f>K191</f>
        <v>2029</v>
      </c>
      <c r="L190" s="78">
        <f>L191</f>
        <v>2123.7</v>
      </c>
    </row>
    <row r="191" spans="1:12" s="4" customFormat="1" ht="18.75" customHeight="1">
      <c r="A191" s="119" t="s">
        <v>767</v>
      </c>
      <c r="B191" s="111" t="s">
        <v>193</v>
      </c>
      <c r="C191" s="111" t="s">
        <v>137</v>
      </c>
      <c r="D191" s="111" t="s">
        <v>153</v>
      </c>
      <c r="E191" s="111" t="s">
        <v>206</v>
      </c>
      <c r="F191" s="111" t="s">
        <v>766</v>
      </c>
      <c r="G191" s="112"/>
      <c r="H191" s="78">
        <f>H192</f>
        <v>1739.1</v>
      </c>
      <c r="I191" s="78">
        <f>I192</f>
        <v>1739.1</v>
      </c>
      <c r="J191" s="113">
        <f t="shared" si="8"/>
        <v>0</v>
      </c>
      <c r="K191" s="78">
        <f>K192</f>
        <v>2029</v>
      </c>
      <c r="L191" s="78">
        <f>L192</f>
        <v>2123.7</v>
      </c>
    </row>
    <row r="192" spans="1:12" s="4" customFormat="1" ht="18.75" customHeight="1">
      <c r="A192" s="119" t="s">
        <v>104</v>
      </c>
      <c r="B192" s="111" t="s">
        <v>193</v>
      </c>
      <c r="C192" s="111" t="s">
        <v>137</v>
      </c>
      <c r="D192" s="111" t="s">
        <v>153</v>
      </c>
      <c r="E192" s="111" t="s">
        <v>206</v>
      </c>
      <c r="F192" s="111" t="s">
        <v>766</v>
      </c>
      <c r="G192" s="112" t="s">
        <v>105</v>
      </c>
      <c r="H192" s="78">
        <f>'Пр. 11'!I386+'Пр. 11'!I645</f>
        <v>1739.1</v>
      </c>
      <c r="I192" s="78">
        <f>'Пр. 11'!J386+'Пр. 11'!J645</f>
        <v>1739.1</v>
      </c>
      <c r="J192" s="113">
        <f t="shared" si="8"/>
        <v>0</v>
      </c>
      <c r="K192" s="78">
        <f>'Пр. 11'!L386+'Пр. 11'!L645</f>
        <v>2029</v>
      </c>
      <c r="L192" s="78">
        <f>'Пр. 11'!M386+'Пр. 11'!M645</f>
        <v>2123.7</v>
      </c>
    </row>
    <row r="193" spans="1:12" s="4" customFormat="1" ht="33" customHeight="1">
      <c r="A193" s="127" t="s">
        <v>841</v>
      </c>
      <c r="B193" s="111" t="s">
        <v>193</v>
      </c>
      <c r="C193" s="111" t="s">
        <v>137</v>
      </c>
      <c r="D193" s="111" t="s">
        <v>153</v>
      </c>
      <c r="E193" s="111" t="s">
        <v>842</v>
      </c>
      <c r="F193" s="111"/>
      <c r="G193" s="112"/>
      <c r="H193" s="78">
        <f>H194</f>
        <v>767</v>
      </c>
      <c r="I193" s="78">
        <f>I194</f>
        <v>1132</v>
      </c>
      <c r="J193" s="113">
        <f t="shared" si="8"/>
        <v>365</v>
      </c>
      <c r="K193" s="78">
        <f>K194</f>
        <v>784.7</v>
      </c>
      <c r="L193" s="78">
        <f>L194</f>
        <v>802.4</v>
      </c>
    </row>
    <row r="194" spans="1:12" s="4" customFormat="1" ht="18" customHeight="1">
      <c r="A194" s="127" t="s">
        <v>767</v>
      </c>
      <c r="B194" s="111" t="s">
        <v>193</v>
      </c>
      <c r="C194" s="111" t="s">
        <v>137</v>
      </c>
      <c r="D194" s="111" t="s">
        <v>153</v>
      </c>
      <c r="E194" s="111" t="s">
        <v>842</v>
      </c>
      <c r="F194" s="111" t="s">
        <v>766</v>
      </c>
      <c r="G194" s="112"/>
      <c r="H194" s="78">
        <f>H195</f>
        <v>767</v>
      </c>
      <c r="I194" s="78">
        <f>I195</f>
        <v>1132</v>
      </c>
      <c r="J194" s="113">
        <f t="shared" si="8"/>
        <v>365</v>
      </c>
      <c r="K194" s="78">
        <f>K195</f>
        <v>784.7</v>
      </c>
      <c r="L194" s="78">
        <f>L195</f>
        <v>802.4</v>
      </c>
    </row>
    <row r="195" spans="1:12" s="4" customFormat="1" ht="18.75" customHeight="1">
      <c r="A195" s="119" t="s">
        <v>104</v>
      </c>
      <c r="B195" s="111" t="s">
        <v>193</v>
      </c>
      <c r="C195" s="111" t="s">
        <v>137</v>
      </c>
      <c r="D195" s="111" t="s">
        <v>153</v>
      </c>
      <c r="E195" s="111" t="s">
        <v>842</v>
      </c>
      <c r="F195" s="111" t="s">
        <v>766</v>
      </c>
      <c r="G195" s="112" t="s">
        <v>105</v>
      </c>
      <c r="H195" s="78">
        <f>'Пр. 11'!I388</f>
        <v>767</v>
      </c>
      <c r="I195" s="78">
        <f>'Пр. 11'!J388</f>
        <v>1132</v>
      </c>
      <c r="J195" s="113">
        <f t="shared" si="8"/>
        <v>365</v>
      </c>
      <c r="K195" s="78">
        <f>'Пр. 11'!L388</f>
        <v>784.7</v>
      </c>
      <c r="L195" s="78">
        <f>'Пр. 11'!M388</f>
        <v>802.4</v>
      </c>
    </row>
    <row r="196" spans="1:12" s="5" customFormat="1" ht="51" customHeight="1">
      <c r="A196" s="109" t="s">
        <v>207</v>
      </c>
      <c r="B196" s="71" t="s">
        <v>193</v>
      </c>
      <c r="C196" s="71" t="s">
        <v>139</v>
      </c>
      <c r="D196" s="71" t="s">
        <v>155</v>
      </c>
      <c r="E196" s="71" t="s">
        <v>156</v>
      </c>
      <c r="F196" s="71"/>
      <c r="G196" s="107"/>
      <c r="H196" s="37">
        <f>H197</f>
        <v>91583.29999999999</v>
      </c>
      <c r="I196" s="37">
        <f>I197</f>
        <v>90323.29999999999</v>
      </c>
      <c r="J196" s="108">
        <f t="shared" si="8"/>
        <v>-1260</v>
      </c>
      <c r="K196" s="37">
        <f>K197</f>
        <v>97828</v>
      </c>
      <c r="L196" s="37">
        <f>L197</f>
        <v>97641</v>
      </c>
    </row>
    <row r="197" spans="1:12" s="5" customFormat="1" ht="50.25" customHeight="1">
      <c r="A197" s="122" t="s">
        <v>972</v>
      </c>
      <c r="B197" s="71" t="s">
        <v>193</v>
      </c>
      <c r="C197" s="71" t="s">
        <v>139</v>
      </c>
      <c r="D197" s="71" t="s">
        <v>153</v>
      </c>
      <c r="E197" s="71" t="s">
        <v>156</v>
      </c>
      <c r="F197" s="71"/>
      <c r="G197" s="107"/>
      <c r="H197" s="37">
        <f>H198+H205+H208</f>
        <v>91583.29999999999</v>
      </c>
      <c r="I197" s="37">
        <f>I198+I205+I208</f>
        <v>90323.29999999999</v>
      </c>
      <c r="J197" s="108">
        <f t="shared" si="8"/>
        <v>-1260</v>
      </c>
      <c r="K197" s="37">
        <f>K198+K205+K208</f>
        <v>97828</v>
      </c>
      <c r="L197" s="37">
        <f>L198+L205+L208</f>
        <v>97641</v>
      </c>
    </row>
    <row r="198" spans="1:12" s="4" customFormat="1" ht="26.25" customHeight="1">
      <c r="A198" s="22" t="s">
        <v>196</v>
      </c>
      <c r="B198" s="111" t="s">
        <v>193</v>
      </c>
      <c r="C198" s="111" t="s">
        <v>139</v>
      </c>
      <c r="D198" s="111" t="s">
        <v>153</v>
      </c>
      <c r="E198" s="111" t="s">
        <v>197</v>
      </c>
      <c r="F198" s="111"/>
      <c r="G198" s="112"/>
      <c r="H198" s="78">
        <f>H199+H201+H203</f>
        <v>3648.5</v>
      </c>
      <c r="I198" s="78">
        <f>I199+I201+I203</f>
        <v>3648.5</v>
      </c>
      <c r="J198" s="113">
        <f aca="true" t="shared" si="9" ref="J198:J210">I198-H198</f>
        <v>0</v>
      </c>
      <c r="K198" s="78">
        <f>K199+K201+K203</f>
        <v>4059.8999999999996</v>
      </c>
      <c r="L198" s="78">
        <f>L199+L201+L203</f>
        <v>4303.4</v>
      </c>
    </row>
    <row r="199" spans="1:12" s="4" customFormat="1" ht="63.75" customHeight="1">
      <c r="A199" s="119" t="s">
        <v>755</v>
      </c>
      <c r="B199" s="111" t="s">
        <v>193</v>
      </c>
      <c r="C199" s="111" t="s">
        <v>139</v>
      </c>
      <c r="D199" s="111" t="s">
        <v>153</v>
      </c>
      <c r="E199" s="111" t="s">
        <v>197</v>
      </c>
      <c r="F199" s="111" t="s">
        <v>756</v>
      </c>
      <c r="G199" s="112"/>
      <c r="H199" s="78">
        <f>H200</f>
        <v>3074.2</v>
      </c>
      <c r="I199" s="78">
        <f>I200</f>
        <v>3074.2</v>
      </c>
      <c r="J199" s="113">
        <f t="shared" si="9"/>
        <v>0</v>
      </c>
      <c r="K199" s="78">
        <f>K200</f>
        <v>3447.2</v>
      </c>
      <c r="L199" s="78">
        <f>L200</f>
        <v>3654</v>
      </c>
    </row>
    <row r="200" spans="1:12" s="4" customFormat="1" ht="17.25" customHeight="1">
      <c r="A200" s="119" t="s">
        <v>104</v>
      </c>
      <c r="B200" s="111" t="s">
        <v>193</v>
      </c>
      <c r="C200" s="111" t="s">
        <v>139</v>
      </c>
      <c r="D200" s="111" t="s">
        <v>153</v>
      </c>
      <c r="E200" s="111" t="s">
        <v>197</v>
      </c>
      <c r="F200" s="111" t="s">
        <v>756</v>
      </c>
      <c r="G200" s="112" t="s">
        <v>105</v>
      </c>
      <c r="H200" s="78">
        <f>'Пр. 11'!I392</f>
        <v>3074.2</v>
      </c>
      <c r="I200" s="78">
        <f>'Пр. 11'!J392</f>
        <v>3074.2</v>
      </c>
      <c r="J200" s="113">
        <f t="shared" si="9"/>
        <v>0</v>
      </c>
      <c r="K200" s="78">
        <f>'Пр. 11'!L392</f>
        <v>3447.2</v>
      </c>
      <c r="L200" s="78">
        <f>'Пр. 11'!M392</f>
        <v>3654</v>
      </c>
    </row>
    <row r="201" spans="1:12" s="4" customFormat="1" ht="36.75" customHeight="1">
      <c r="A201" s="119" t="s">
        <v>758</v>
      </c>
      <c r="B201" s="111" t="s">
        <v>193</v>
      </c>
      <c r="C201" s="111" t="s">
        <v>139</v>
      </c>
      <c r="D201" s="111" t="s">
        <v>153</v>
      </c>
      <c r="E201" s="111" t="s">
        <v>197</v>
      </c>
      <c r="F201" s="111" t="s">
        <v>757</v>
      </c>
      <c r="G201" s="112"/>
      <c r="H201" s="78">
        <f>H202</f>
        <v>573.3</v>
      </c>
      <c r="I201" s="78">
        <f>I202</f>
        <v>573.3</v>
      </c>
      <c r="J201" s="113">
        <f t="shared" si="9"/>
        <v>0</v>
      </c>
      <c r="K201" s="78">
        <f>K202</f>
        <v>611.7</v>
      </c>
      <c r="L201" s="78">
        <f>L202</f>
        <v>648.4</v>
      </c>
    </row>
    <row r="202" spans="1:12" s="4" customFormat="1" ht="17.25" customHeight="1">
      <c r="A202" s="119" t="s">
        <v>104</v>
      </c>
      <c r="B202" s="111" t="s">
        <v>193</v>
      </c>
      <c r="C202" s="111" t="s">
        <v>139</v>
      </c>
      <c r="D202" s="111" t="s">
        <v>153</v>
      </c>
      <c r="E202" s="111" t="s">
        <v>197</v>
      </c>
      <c r="F202" s="111" t="s">
        <v>757</v>
      </c>
      <c r="G202" s="112" t="s">
        <v>105</v>
      </c>
      <c r="H202" s="78">
        <f>'Пр. 11'!I393</f>
        <v>573.3</v>
      </c>
      <c r="I202" s="78">
        <f>'Пр. 11'!J393</f>
        <v>573.3</v>
      </c>
      <c r="J202" s="113">
        <f t="shared" si="9"/>
        <v>0</v>
      </c>
      <c r="K202" s="78">
        <f>'Пр. 11'!L393</f>
        <v>611.7</v>
      </c>
      <c r="L202" s="78">
        <f>'Пр. 11'!M393</f>
        <v>648.4</v>
      </c>
    </row>
    <row r="203" spans="1:12" s="4" customFormat="1" ht="17.25" customHeight="1">
      <c r="A203" s="114" t="s">
        <v>759</v>
      </c>
      <c r="B203" s="111" t="s">
        <v>193</v>
      </c>
      <c r="C203" s="111" t="s">
        <v>139</v>
      </c>
      <c r="D203" s="111" t="s">
        <v>153</v>
      </c>
      <c r="E203" s="111" t="s">
        <v>197</v>
      </c>
      <c r="F203" s="111" t="s">
        <v>760</v>
      </c>
      <c r="G203" s="112"/>
      <c r="H203" s="78">
        <f>H204</f>
        <v>1</v>
      </c>
      <c r="I203" s="78">
        <f>I204</f>
        <v>1</v>
      </c>
      <c r="J203" s="113">
        <f t="shared" si="9"/>
        <v>0</v>
      </c>
      <c r="K203" s="78">
        <f>K204</f>
        <v>1</v>
      </c>
      <c r="L203" s="78">
        <f>L204</f>
        <v>1</v>
      </c>
    </row>
    <row r="204" spans="1:12" s="4" customFormat="1" ht="17.25" customHeight="1">
      <c r="A204" s="119" t="s">
        <v>104</v>
      </c>
      <c r="B204" s="111" t="s">
        <v>193</v>
      </c>
      <c r="C204" s="111" t="s">
        <v>139</v>
      </c>
      <c r="D204" s="111" t="s">
        <v>153</v>
      </c>
      <c r="E204" s="111" t="s">
        <v>197</v>
      </c>
      <c r="F204" s="111" t="s">
        <v>760</v>
      </c>
      <c r="G204" s="112" t="s">
        <v>105</v>
      </c>
      <c r="H204" s="78">
        <f>'Пр. 11'!I394</f>
        <v>1</v>
      </c>
      <c r="I204" s="78">
        <f>'Пр. 11'!J394</f>
        <v>1</v>
      </c>
      <c r="J204" s="113">
        <f t="shared" si="9"/>
        <v>0</v>
      </c>
      <c r="K204" s="78">
        <f>'Пр. 11'!L394</f>
        <v>1</v>
      </c>
      <c r="L204" s="78">
        <f>'Пр. 11'!M394</f>
        <v>1</v>
      </c>
    </row>
    <row r="205" spans="1:12" s="4" customFormat="1" ht="42" customHeight="1">
      <c r="A205" s="114" t="s">
        <v>198</v>
      </c>
      <c r="B205" s="111" t="s">
        <v>193</v>
      </c>
      <c r="C205" s="111" t="s">
        <v>139</v>
      </c>
      <c r="D205" s="111" t="s">
        <v>153</v>
      </c>
      <c r="E205" s="111" t="s">
        <v>873</v>
      </c>
      <c r="F205" s="111"/>
      <c r="G205" s="112"/>
      <c r="H205" s="78">
        <f>H206</f>
        <v>1889.4</v>
      </c>
      <c r="I205" s="78">
        <f>I206</f>
        <v>1889.4</v>
      </c>
      <c r="J205" s="113">
        <f t="shared" si="9"/>
        <v>0</v>
      </c>
      <c r="K205" s="131">
        <f>K206</f>
        <v>1785.7</v>
      </c>
      <c r="L205" s="131">
        <f>L206</f>
        <v>1836.2</v>
      </c>
    </row>
    <row r="206" spans="1:12" s="4" customFormat="1" ht="64.5" customHeight="1">
      <c r="A206" s="119" t="s">
        <v>755</v>
      </c>
      <c r="B206" s="111" t="s">
        <v>193</v>
      </c>
      <c r="C206" s="111" t="s">
        <v>139</v>
      </c>
      <c r="D206" s="111" t="s">
        <v>153</v>
      </c>
      <c r="E206" s="111" t="s">
        <v>873</v>
      </c>
      <c r="F206" s="111" t="s">
        <v>756</v>
      </c>
      <c r="G206" s="112"/>
      <c r="H206" s="78">
        <f>H207</f>
        <v>1889.4</v>
      </c>
      <c r="I206" s="78">
        <f>I207</f>
        <v>1889.4</v>
      </c>
      <c r="J206" s="113">
        <f t="shared" si="9"/>
        <v>0</v>
      </c>
      <c r="K206" s="131">
        <f>K207</f>
        <v>1785.7</v>
      </c>
      <c r="L206" s="131">
        <f>L207</f>
        <v>1836.2</v>
      </c>
    </row>
    <row r="207" spans="1:12" s="4" customFormat="1" ht="18.75" customHeight="1">
      <c r="A207" s="119" t="s">
        <v>104</v>
      </c>
      <c r="B207" s="111" t="s">
        <v>193</v>
      </c>
      <c r="C207" s="111" t="s">
        <v>139</v>
      </c>
      <c r="D207" s="111" t="s">
        <v>153</v>
      </c>
      <c r="E207" s="111" t="s">
        <v>873</v>
      </c>
      <c r="F207" s="111" t="s">
        <v>756</v>
      </c>
      <c r="G207" s="112" t="s">
        <v>105</v>
      </c>
      <c r="H207" s="78">
        <f>'Пр. 11'!I396</f>
        <v>1889.4</v>
      </c>
      <c r="I207" s="78">
        <f>'Пр. 11'!J396</f>
        <v>1889.4</v>
      </c>
      <c r="J207" s="113">
        <f t="shared" si="9"/>
        <v>0</v>
      </c>
      <c r="K207" s="78">
        <f>'Пр. 11'!L396</f>
        <v>1785.7</v>
      </c>
      <c r="L207" s="78">
        <f>'Пр. 11'!M396</f>
        <v>1836.2</v>
      </c>
    </row>
    <row r="208" spans="1:12" s="4" customFormat="1" ht="33" customHeight="1">
      <c r="A208" s="119" t="s">
        <v>200</v>
      </c>
      <c r="B208" s="111" t="s">
        <v>193</v>
      </c>
      <c r="C208" s="111" t="s">
        <v>139</v>
      </c>
      <c r="D208" s="111" t="s">
        <v>153</v>
      </c>
      <c r="E208" s="111" t="s">
        <v>201</v>
      </c>
      <c r="F208" s="111"/>
      <c r="G208" s="112"/>
      <c r="H208" s="78">
        <f>H209</f>
        <v>86045.4</v>
      </c>
      <c r="I208" s="78">
        <f>I209</f>
        <v>84785.4</v>
      </c>
      <c r="J208" s="113">
        <f t="shared" si="9"/>
        <v>-1260</v>
      </c>
      <c r="K208" s="78">
        <f>K209</f>
        <v>91982.4</v>
      </c>
      <c r="L208" s="78">
        <f>L209</f>
        <v>91501.4</v>
      </c>
    </row>
    <row r="209" spans="1:12" s="4" customFormat="1" ht="33.75" customHeight="1">
      <c r="A209" s="114" t="s">
        <v>763</v>
      </c>
      <c r="B209" s="111" t="s">
        <v>193</v>
      </c>
      <c r="C209" s="111" t="s">
        <v>139</v>
      </c>
      <c r="D209" s="111" t="s">
        <v>153</v>
      </c>
      <c r="E209" s="111" t="s">
        <v>201</v>
      </c>
      <c r="F209" s="111" t="s">
        <v>764</v>
      </c>
      <c r="G209" s="112"/>
      <c r="H209" s="78">
        <f>H210</f>
        <v>86045.4</v>
      </c>
      <c r="I209" s="78">
        <f>I210</f>
        <v>84785.4</v>
      </c>
      <c r="J209" s="113">
        <f t="shared" si="9"/>
        <v>-1260</v>
      </c>
      <c r="K209" s="78">
        <f>K210</f>
        <v>91982.4</v>
      </c>
      <c r="L209" s="78">
        <f>L210</f>
        <v>91501.4</v>
      </c>
    </row>
    <row r="210" spans="1:12" s="4" customFormat="1" ht="19.5" customHeight="1">
      <c r="A210" s="22" t="s">
        <v>94</v>
      </c>
      <c r="B210" s="111" t="s">
        <v>193</v>
      </c>
      <c r="C210" s="111" t="s">
        <v>139</v>
      </c>
      <c r="D210" s="111" t="s">
        <v>153</v>
      </c>
      <c r="E210" s="111" t="s">
        <v>201</v>
      </c>
      <c r="F210" s="111" t="s">
        <v>764</v>
      </c>
      <c r="G210" s="112" t="s">
        <v>95</v>
      </c>
      <c r="H210" s="78">
        <f>'Пр. 11'!I319</f>
        <v>86045.4</v>
      </c>
      <c r="I210" s="78">
        <f>'Пр. 11'!J319</f>
        <v>84785.4</v>
      </c>
      <c r="J210" s="113">
        <f t="shared" si="9"/>
        <v>-1260</v>
      </c>
      <c r="K210" s="78">
        <f>'Пр. 11'!L319</f>
        <v>91982.4</v>
      </c>
      <c r="L210" s="78">
        <f>'Пр. 11'!M319</f>
        <v>91501.4</v>
      </c>
    </row>
    <row r="211" spans="1:12" s="3" customFormat="1" ht="48" customHeight="1">
      <c r="A211" s="122" t="s">
        <v>214</v>
      </c>
      <c r="B211" s="71" t="s">
        <v>215</v>
      </c>
      <c r="C211" s="71" t="s">
        <v>154</v>
      </c>
      <c r="D211" s="71" t="s">
        <v>155</v>
      </c>
      <c r="E211" s="71" t="s">
        <v>156</v>
      </c>
      <c r="F211" s="71"/>
      <c r="G211" s="107"/>
      <c r="H211" s="37">
        <f>H212+H237+H227+H232</f>
        <v>10068.6</v>
      </c>
      <c r="I211" s="37">
        <f>I212+I237+I227+I232</f>
        <v>10068.6</v>
      </c>
      <c r="J211" s="113">
        <f aca="true" t="shared" si="10" ref="J211:J242">I211-H211</f>
        <v>0</v>
      </c>
      <c r="K211" s="37">
        <f>K212+K237+K227+K232</f>
        <v>17749.699999999997</v>
      </c>
      <c r="L211" s="37">
        <f>L212+L237+L227+L232</f>
        <v>18008.1</v>
      </c>
    </row>
    <row r="212" spans="1:12" s="5" customFormat="1" ht="39" customHeight="1">
      <c r="A212" s="109" t="s">
        <v>216</v>
      </c>
      <c r="B212" s="71" t="s">
        <v>215</v>
      </c>
      <c r="C212" s="71" t="s">
        <v>136</v>
      </c>
      <c r="D212" s="71" t="s">
        <v>155</v>
      </c>
      <c r="E212" s="71" t="s">
        <v>156</v>
      </c>
      <c r="F212" s="71"/>
      <c r="G212" s="107"/>
      <c r="H212" s="37">
        <f>H213+H217</f>
        <v>4047.6</v>
      </c>
      <c r="I212" s="37">
        <f>I213+I217</f>
        <v>4047.6</v>
      </c>
      <c r="J212" s="113">
        <f t="shared" si="10"/>
        <v>0</v>
      </c>
      <c r="K212" s="37">
        <f>K213+K217</f>
        <v>4011.3999999999996</v>
      </c>
      <c r="L212" s="37">
        <f>L213+L217</f>
        <v>3693.6</v>
      </c>
    </row>
    <row r="213" spans="1:12" s="5" customFormat="1" ht="33" customHeight="1">
      <c r="A213" s="109" t="s">
        <v>893</v>
      </c>
      <c r="B213" s="71" t="s">
        <v>215</v>
      </c>
      <c r="C213" s="71" t="s">
        <v>136</v>
      </c>
      <c r="D213" s="71" t="s">
        <v>153</v>
      </c>
      <c r="E213" s="71" t="s">
        <v>156</v>
      </c>
      <c r="F213" s="71"/>
      <c r="G213" s="107"/>
      <c r="H213" s="37">
        <f>H214</f>
        <v>362.9</v>
      </c>
      <c r="I213" s="37">
        <f aca="true" t="shared" si="11" ref="H213:L215">I214</f>
        <v>362.9</v>
      </c>
      <c r="J213" s="108">
        <f t="shared" si="10"/>
        <v>0</v>
      </c>
      <c r="K213" s="37">
        <f t="shared" si="11"/>
        <v>371</v>
      </c>
      <c r="L213" s="37">
        <f t="shared" si="11"/>
        <v>371</v>
      </c>
    </row>
    <row r="214" spans="1:12" s="5" customFormat="1" ht="72" customHeight="1">
      <c r="A214" s="119" t="s">
        <v>217</v>
      </c>
      <c r="B214" s="111" t="s">
        <v>215</v>
      </c>
      <c r="C214" s="111" t="s">
        <v>136</v>
      </c>
      <c r="D214" s="111" t="s">
        <v>153</v>
      </c>
      <c r="E214" s="111" t="s">
        <v>218</v>
      </c>
      <c r="F214" s="111"/>
      <c r="G214" s="112"/>
      <c r="H214" s="78">
        <f t="shared" si="11"/>
        <v>362.9</v>
      </c>
      <c r="I214" s="78">
        <f t="shared" si="11"/>
        <v>362.9</v>
      </c>
      <c r="J214" s="113">
        <f t="shared" si="10"/>
        <v>0</v>
      </c>
      <c r="K214" s="78">
        <f t="shared" si="11"/>
        <v>371</v>
      </c>
      <c r="L214" s="78">
        <f t="shared" si="11"/>
        <v>371</v>
      </c>
    </row>
    <row r="215" spans="1:12" s="5" customFormat="1" ht="31.5" customHeight="1">
      <c r="A215" s="114" t="s">
        <v>758</v>
      </c>
      <c r="B215" s="111" t="s">
        <v>215</v>
      </c>
      <c r="C215" s="111" t="s">
        <v>136</v>
      </c>
      <c r="D215" s="111" t="s">
        <v>153</v>
      </c>
      <c r="E215" s="111" t="s">
        <v>218</v>
      </c>
      <c r="F215" s="111" t="s">
        <v>757</v>
      </c>
      <c r="G215" s="132"/>
      <c r="H215" s="78">
        <f t="shared" si="11"/>
        <v>362.9</v>
      </c>
      <c r="I215" s="78">
        <f t="shared" si="11"/>
        <v>362.9</v>
      </c>
      <c r="J215" s="113">
        <f t="shared" si="10"/>
        <v>0</v>
      </c>
      <c r="K215" s="78">
        <f t="shared" si="11"/>
        <v>371</v>
      </c>
      <c r="L215" s="78">
        <f t="shared" si="11"/>
        <v>371</v>
      </c>
    </row>
    <row r="216" spans="1:12" s="5" customFormat="1" ht="21" customHeight="1">
      <c r="A216" s="119" t="s">
        <v>120</v>
      </c>
      <c r="B216" s="111" t="s">
        <v>215</v>
      </c>
      <c r="C216" s="111" t="s">
        <v>136</v>
      </c>
      <c r="D216" s="111" t="s">
        <v>153</v>
      </c>
      <c r="E216" s="111" t="s">
        <v>218</v>
      </c>
      <c r="F216" s="111" t="s">
        <v>757</v>
      </c>
      <c r="G216" s="112" t="s">
        <v>121</v>
      </c>
      <c r="H216" s="78">
        <f>'Пр. 11'!I471</f>
        <v>362.9</v>
      </c>
      <c r="I216" s="78">
        <f>'Пр. 11'!J471</f>
        <v>362.9</v>
      </c>
      <c r="J216" s="113">
        <f t="shared" si="10"/>
        <v>0</v>
      </c>
      <c r="K216" s="78">
        <f>'Пр. 11'!L471</f>
        <v>371</v>
      </c>
      <c r="L216" s="78">
        <f>'Пр. 11'!M471</f>
        <v>371</v>
      </c>
    </row>
    <row r="217" spans="1:12" s="5" customFormat="1" ht="36.75" customHeight="1">
      <c r="A217" s="109" t="s">
        <v>894</v>
      </c>
      <c r="B217" s="71" t="s">
        <v>215</v>
      </c>
      <c r="C217" s="71" t="s">
        <v>136</v>
      </c>
      <c r="D217" s="71" t="s">
        <v>166</v>
      </c>
      <c r="E217" s="71" t="s">
        <v>156</v>
      </c>
      <c r="F217" s="71"/>
      <c r="G217" s="107"/>
      <c r="H217" s="37">
        <f>H218+H221+H224</f>
        <v>3684.7</v>
      </c>
      <c r="I217" s="37">
        <f>I218+I221+I224</f>
        <v>3684.7</v>
      </c>
      <c r="J217" s="108">
        <f t="shared" si="10"/>
        <v>0</v>
      </c>
      <c r="K217" s="37">
        <f>K218+K221+K224</f>
        <v>3640.3999999999996</v>
      </c>
      <c r="L217" s="37">
        <f>L218+L221+L224</f>
        <v>3322.6</v>
      </c>
    </row>
    <row r="218" spans="1:12" s="5" customFormat="1" ht="48.75" customHeight="1">
      <c r="A218" s="119" t="s">
        <v>219</v>
      </c>
      <c r="B218" s="111" t="s">
        <v>215</v>
      </c>
      <c r="C218" s="111" t="s">
        <v>136</v>
      </c>
      <c r="D218" s="111" t="s">
        <v>166</v>
      </c>
      <c r="E218" s="111" t="s">
        <v>220</v>
      </c>
      <c r="F218" s="132"/>
      <c r="G218" s="111"/>
      <c r="H218" s="78">
        <f>H219</f>
        <v>1284.3000000000002</v>
      </c>
      <c r="I218" s="78">
        <f>I219</f>
        <v>1284.3000000000002</v>
      </c>
      <c r="J218" s="113">
        <f t="shared" si="10"/>
        <v>0</v>
      </c>
      <c r="K218" s="78">
        <f>K219</f>
        <v>1184.6</v>
      </c>
      <c r="L218" s="78">
        <f>L219</f>
        <v>1184.6</v>
      </c>
    </row>
    <row r="219" spans="1:12" s="5" customFormat="1" ht="34.5" customHeight="1">
      <c r="A219" s="114" t="s">
        <v>758</v>
      </c>
      <c r="B219" s="111" t="s">
        <v>215</v>
      </c>
      <c r="C219" s="111" t="s">
        <v>136</v>
      </c>
      <c r="D219" s="111" t="s">
        <v>166</v>
      </c>
      <c r="E219" s="111" t="s">
        <v>220</v>
      </c>
      <c r="F219" s="111" t="s">
        <v>757</v>
      </c>
      <c r="G219" s="132"/>
      <c r="H219" s="78">
        <f>H220</f>
        <v>1284.3000000000002</v>
      </c>
      <c r="I219" s="78">
        <f>I220</f>
        <v>1284.3000000000002</v>
      </c>
      <c r="J219" s="113">
        <f t="shared" si="10"/>
        <v>0</v>
      </c>
      <c r="K219" s="78">
        <f>K220</f>
        <v>1184.6</v>
      </c>
      <c r="L219" s="78">
        <f>L220</f>
        <v>1184.6</v>
      </c>
    </row>
    <row r="220" spans="1:12" s="5" customFormat="1" ht="17.25" customHeight="1">
      <c r="A220" s="119" t="s">
        <v>120</v>
      </c>
      <c r="B220" s="111" t="s">
        <v>215</v>
      </c>
      <c r="C220" s="111" t="s">
        <v>136</v>
      </c>
      <c r="D220" s="111" t="s">
        <v>166</v>
      </c>
      <c r="E220" s="111" t="s">
        <v>220</v>
      </c>
      <c r="F220" s="111" t="s">
        <v>757</v>
      </c>
      <c r="G220" s="112" t="s">
        <v>121</v>
      </c>
      <c r="H220" s="78">
        <f>'Пр. 11'!I474</f>
        <v>1284.3000000000002</v>
      </c>
      <c r="I220" s="78">
        <f>'Пр. 11'!J474</f>
        <v>1284.3000000000002</v>
      </c>
      <c r="J220" s="113">
        <f t="shared" si="10"/>
        <v>0</v>
      </c>
      <c r="K220" s="78">
        <f>'Пр. 11'!L474</f>
        <v>1184.6</v>
      </c>
      <c r="L220" s="78">
        <f>'Пр. 11'!M474</f>
        <v>1184.6</v>
      </c>
    </row>
    <row r="221" spans="1:12" s="5" customFormat="1" ht="30.75" customHeight="1">
      <c r="A221" s="119" t="s">
        <v>221</v>
      </c>
      <c r="B221" s="111" t="s">
        <v>215</v>
      </c>
      <c r="C221" s="111" t="s">
        <v>136</v>
      </c>
      <c r="D221" s="111" t="s">
        <v>166</v>
      </c>
      <c r="E221" s="111" t="s">
        <v>222</v>
      </c>
      <c r="F221" s="111"/>
      <c r="G221" s="112"/>
      <c r="H221" s="78">
        <f>H222</f>
        <v>134.7</v>
      </c>
      <c r="I221" s="78">
        <f>I222</f>
        <v>134.7</v>
      </c>
      <c r="J221" s="113">
        <f t="shared" si="10"/>
        <v>0</v>
      </c>
      <c r="K221" s="78">
        <f>K222</f>
        <v>137.8</v>
      </c>
      <c r="L221" s="78">
        <f>L222</f>
        <v>0</v>
      </c>
    </row>
    <row r="222" spans="1:12" s="5" customFormat="1" ht="30.75" customHeight="1">
      <c r="A222" s="114" t="s">
        <v>758</v>
      </c>
      <c r="B222" s="111" t="s">
        <v>215</v>
      </c>
      <c r="C222" s="111" t="s">
        <v>136</v>
      </c>
      <c r="D222" s="111" t="s">
        <v>166</v>
      </c>
      <c r="E222" s="111" t="s">
        <v>222</v>
      </c>
      <c r="F222" s="111" t="s">
        <v>757</v>
      </c>
      <c r="G222" s="132"/>
      <c r="H222" s="78">
        <f>H223</f>
        <v>134.7</v>
      </c>
      <c r="I222" s="78">
        <f>I223</f>
        <v>134.7</v>
      </c>
      <c r="J222" s="113">
        <f t="shared" si="10"/>
        <v>0</v>
      </c>
      <c r="K222" s="78">
        <f>K223</f>
        <v>137.8</v>
      </c>
      <c r="L222" s="78">
        <f>L223</f>
        <v>0</v>
      </c>
    </row>
    <row r="223" spans="1:12" s="5" customFormat="1" ht="17.25" customHeight="1">
      <c r="A223" s="119" t="s">
        <v>120</v>
      </c>
      <c r="B223" s="111" t="s">
        <v>215</v>
      </c>
      <c r="C223" s="111" t="s">
        <v>136</v>
      </c>
      <c r="D223" s="111" t="s">
        <v>166</v>
      </c>
      <c r="E223" s="111" t="s">
        <v>222</v>
      </c>
      <c r="F223" s="111" t="s">
        <v>757</v>
      </c>
      <c r="G223" s="112" t="s">
        <v>121</v>
      </c>
      <c r="H223" s="78">
        <f>'Пр. 11'!I476</f>
        <v>134.7</v>
      </c>
      <c r="I223" s="78">
        <f>'Пр. 11'!J476</f>
        <v>134.7</v>
      </c>
      <c r="J223" s="113">
        <f t="shared" si="10"/>
        <v>0</v>
      </c>
      <c r="K223" s="78">
        <f>'Пр. 11'!L476</f>
        <v>137.8</v>
      </c>
      <c r="L223" s="78">
        <f>'Пр. 11'!M476</f>
        <v>0</v>
      </c>
    </row>
    <row r="224" spans="1:12" s="5" customFormat="1" ht="48.75" customHeight="1">
      <c r="A224" s="119" t="s">
        <v>223</v>
      </c>
      <c r="B224" s="111" t="s">
        <v>215</v>
      </c>
      <c r="C224" s="111" t="s">
        <v>136</v>
      </c>
      <c r="D224" s="111" t="s">
        <v>166</v>
      </c>
      <c r="E224" s="111" t="s">
        <v>224</v>
      </c>
      <c r="F224" s="111"/>
      <c r="G224" s="112"/>
      <c r="H224" s="78">
        <f aca="true" t="shared" si="12" ref="H224:L225">H225</f>
        <v>2265.7</v>
      </c>
      <c r="I224" s="78">
        <f t="shared" si="12"/>
        <v>2265.7</v>
      </c>
      <c r="J224" s="113">
        <f t="shared" si="10"/>
        <v>0</v>
      </c>
      <c r="K224" s="78">
        <f t="shared" si="12"/>
        <v>2318</v>
      </c>
      <c r="L224" s="78">
        <f t="shared" si="12"/>
        <v>2138</v>
      </c>
    </row>
    <row r="225" spans="1:12" s="5" customFormat="1" ht="22.5" customHeight="1">
      <c r="A225" s="22" t="s">
        <v>765</v>
      </c>
      <c r="B225" s="111" t="s">
        <v>215</v>
      </c>
      <c r="C225" s="111" t="s">
        <v>136</v>
      </c>
      <c r="D225" s="111" t="s">
        <v>166</v>
      </c>
      <c r="E225" s="111" t="s">
        <v>224</v>
      </c>
      <c r="F225" s="111" t="s">
        <v>766</v>
      </c>
      <c r="G225" s="112"/>
      <c r="H225" s="78">
        <f t="shared" si="12"/>
        <v>2265.7</v>
      </c>
      <c r="I225" s="78">
        <f t="shared" si="12"/>
        <v>2265.7</v>
      </c>
      <c r="J225" s="113">
        <f t="shared" si="10"/>
        <v>0</v>
      </c>
      <c r="K225" s="78">
        <f t="shared" si="12"/>
        <v>2318</v>
      </c>
      <c r="L225" s="78">
        <f t="shared" si="12"/>
        <v>2138</v>
      </c>
    </row>
    <row r="226" spans="1:12" s="5" customFormat="1" ht="17.25" customHeight="1">
      <c r="A226" s="119" t="s">
        <v>120</v>
      </c>
      <c r="B226" s="111" t="s">
        <v>215</v>
      </c>
      <c r="C226" s="111" t="s">
        <v>136</v>
      </c>
      <c r="D226" s="111" t="s">
        <v>166</v>
      </c>
      <c r="E226" s="111" t="s">
        <v>224</v>
      </c>
      <c r="F226" s="111" t="s">
        <v>766</v>
      </c>
      <c r="G226" s="112" t="s">
        <v>121</v>
      </c>
      <c r="H226" s="78">
        <f>'Пр. 11'!I478</f>
        <v>2265.7</v>
      </c>
      <c r="I226" s="78">
        <f>'Пр. 11'!J478</f>
        <v>2265.7</v>
      </c>
      <c r="J226" s="113">
        <f t="shared" si="10"/>
        <v>0</v>
      </c>
      <c r="K226" s="78">
        <f>'Пр. 11'!L478</f>
        <v>2318</v>
      </c>
      <c r="L226" s="78">
        <f>'Пр. 11'!M478</f>
        <v>2138</v>
      </c>
    </row>
    <row r="227" spans="1:12" s="5" customFormat="1" ht="48.75" customHeight="1" hidden="1">
      <c r="A227" s="109" t="s">
        <v>225</v>
      </c>
      <c r="B227" s="71" t="s">
        <v>215</v>
      </c>
      <c r="C227" s="71" t="s">
        <v>137</v>
      </c>
      <c r="D227" s="71" t="s">
        <v>155</v>
      </c>
      <c r="E227" s="71" t="s">
        <v>156</v>
      </c>
      <c r="F227" s="71"/>
      <c r="G227" s="107"/>
      <c r="H227" s="37">
        <f aca="true" t="shared" si="13" ref="H227:I230">H228</f>
        <v>0</v>
      </c>
      <c r="I227" s="37">
        <f t="shared" si="13"/>
        <v>0</v>
      </c>
      <c r="J227" s="108">
        <f t="shared" si="10"/>
        <v>0</v>
      </c>
      <c r="K227" s="37">
        <f aca="true" t="shared" si="14" ref="K227:L230">K228</f>
        <v>0</v>
      </c>
      <c r="L227" s="37">
        <f t="shared" si="14"/>
        <v>0</v>
      </c>
    </row>
    <row r="228" spans="1:12" s="5" customFormat="1" ht="33.75" customHeight="1" hidden="1">
      <c r="A228" s="109" t="s">
        <v>1095</v>
      </c>
      <c r="B228" s="71" t="s">
        <v>215</v>
      </c>
      <c r="C228" s="71" t="s">
        <v>137</v>
      </c>
      <c r="D228" s="71" t="s">
        <v>153</v>
      </c>
      <c r="E228" s="71" t="s">
        <v>156</v>
      </c>
      <c r="F228" s="71"/>
      <c r="G228" s="107"/>
      <c r="H228" s="37">
        <f t="shared" si="13"/>
        <v>0</v>
      </c>
      <c r="I228" s="37">
        <f t="shared" si="13"/>
        <v>0</v>
      </c>
      <c r="J228" s="108">
        <f t="shared" si="10"/>
        <v>0</v>
      </c>
      <c r="K228" s="37">
        <f t="shared" si="14"/>
        <v>0</v>
      </c>
      <c r="L228" s="37">
        <f t="shared" si="14"/>
        <v>0</v>
      </c>
    </row>
    <row r="229" spans="1:12" s="4" customFormat="1" ht="34.5" customHeight="1" hidden="1">
      <c r="A229" s="119" t="s">
        <v>226</v>
      </c>
      <c r="B229" s="111" t="s">
        <v>215</v>
      </c>
      <c r="C229" s="111" t="s">
        <v>137</v>
      </c>
      <c r="D229" s="111" t="s">
        <v>153</v>
      </c>
      <c r="E229" s="111" t="s">
        <v>227</v>
      </c>
      <c r="F229" s="111"/>
      <c r="G229" s="112"/>
      <c r="H229" s="78">
        <f t="shared" si="13"/>
        <v>0</v>
      </c>
      <c r="I229" s="78">
        <f t="shared" si="13"/>
        <v>0</v>
      </c>
      <c r="J229" s="113">
        <f t="shared" si="10"/>
        <v>0</v>
      </c>
      <c r="K229" s="78">
        <f t="shared" si="14"/>
        <v>0</v>
      </c>
      <c r="L229" s="78">
        <f t="shared" si="14"/>
        <v>0</v>
      </c>
    </row>
    <row r="230" spans="1:12" s="4" customFormat="1" ht="32.25" customHeight="1" hidden="1">
      <c r="A230" s="119" t="s">
        <v>763</v>
      </c>
      <c r="B230" s="111" t="s">
        <v>215</v>
      </c>
      <c r="C230" s="111" t="s">
        <v>137</v>
      </c>
      <c r="D230" s="111" t="s">
        <v>153</v>
      </c>
      <c r="E230" s="111" t="s">
        <v>227</v>
      </c>
      <c r="F230" s="111" t="s">
        <v>764</v>
      </c>
      <c r="G230" s="112"/>
      <c r="H230" s="78">
        <f t="shared" si="13"/>
        <v>0</v>
      </c>
      <c r="I230" s="78">
        <f t="shared" si="13"/>
        <v>0</v>
      </c>
      <c r="J230" s="113">
        <f t="shared" si="10"/>
        <v>0</v>
      </c>
      <c r="K230" s="78">
        <f t="shared" si="14"/>
        <v>0</v>
      </c>
      <c r="L230" s="78">
        <f t="shared" si="14"/>
        <v>0</v>
      </c>
    </row>
    <row r="231" spans="1:12" s="4" customFormat="1" ht="21" customHeight="1" hidden="1">
      <c r="A231" s="119" t="s">
        <v>120</v>
      </c>
      <c r="B231" s="111" t="s">
        <v>215</v>
      </c>
      <c r="C231" s="111" t="s">
        <v>137</v>
      </c>
      <c r="D231" s="111" t="s">
        <v>153</v>
      </c>
      <c r="E231" s="111" t="s">
        <v>227</v>
      </c>
      <c r="F231" s="111" t="s">
        <v>764</v>
      </c>
      <c r="G231" s="112" t="s">
        <v>121</v>
      </c>
      <c r="H231" s="78">
        <f>'Пр. 11'!I1160</f>
        <v>0</v>
      </c>
      <c r="I231" s="78">
        <f>'Пр. 11'!J1160</f>
        <v>0</v>
      </c>
      <c r="J231" s="113">
        <f t="shared" si="10"/>
        <v>0</v>
      </c>
      <c r="K231" s="78">
        <f>'Пр. 11'!L1160</f>
        <v>0</v>
      </c>
      <c r="L231" s="78">
        <f>'Пр. 11'!M1160</f>
        <v>0</v>
      </c>
    </row>
    <row r="232" spans="1:12" s="5" customFormat="1" ht="45.75" customHeight="1">
      <c r="A232" s="109" t="s">
        <v>228</v>
      </c>
      <c r="B232" s="71" t="s">
        <v>215</v>
      </c>
      <c r="C232" s="71" t="s">
        <v>139</v>
      </c>
      <c r="D232" s="71" t="s">
        <v>155</v>
      </c>
      <c r="E232" s="71" t="s">
        <v>156</v>
      </c>
      <c r="F232" s="71"/>
      <c r="G232" s="107"/>
      <c r="H232" s="37">
        <f aca="true" t="shared" si="15" ref="H232:L235">H233</f>
        <v>21</v>
      </c>
      <c r="I232" s="37">
        <f t="shared" si="15"/>
        <v>21</v>
      </c>
      <c r="J232" s="108">
        <f t="shared" si="10"/>
        <v>0</v>
      </c>
      <c r="K232" s="37">
        <f t="shared" si="15"/>
        <v>21</v>
      </c>
      <c r="L232" s="37">
        <f t="shared" si="15"/>
        <v>21</v>
      </c>
    </row>
    <row r="233" spans="1:12" s="5" customFormat="1" ht="40.5" customHeight="1">
      <c r="A233" s="109" t="s">
        <v>895</v>
      </c>
      <c r="B233" s="71" t="s">
        <v>215</v>
      </c>
      <c r="C233" s="71" t="s">
        <v>139</v>
      </c>
      <c r="D233" s="71" t="s">
        <v>153</v>
      </c>
      <c r="E233" s="71" t="s">
        <v>156</v>
      </c>
      <c r="F233" s="71"/>
      <c r="G233" s="107"/>
      <c r="H233" s="37">
        <f t="shared" si="15"/>
        <v>21</v>
      </c>
      <c r="I233" s="37">
        <f t="shared" si="15"/>
        <v>21</v>
      </c>
      <c r="J233" s="108">
        <f t="shared" si="10"/>
        <v>0</v>
      </c>
      <c r="K233" s="37">
        <f t="shared" si="15"/>
        <v>21</v>
      </c>
      <c r="L233" s="37">
        <f t="shared" si="15"/>
        <v>21</v>
      </c>
    </row>
    <row r="234" spans="1:12" s="4" customFormat="1" ht="48" customHeight="1">
      <c r="A234" s="119" t="s">
        <v>1124</v>
      </c>
      <c r="B234" s="111" t="s">
        <v>215</v>
      </c>
      <c r="C234" s="111" t="s">
        <v>139</v>
      </c>
      <c r="D234" s="111" t="s">
        <v>153</v>
      </c>
      <c r="E234" s="111" t="s">
        <v>229</v>
      </c>
      <c r="F234" s="111"/>
      <c r="G234" s="112"/>
      <c r="H234" s="78">
        <f t="shared" si="15"/>
        <v>21</v>
      </c>
      <c r="I234" s="78">
        <f t="shared" si="15"/>
        <v>21</v>
      </c>
      <c r="J234" s="113">
        <f t="shared" si="10"/>
        <v>0</v>
      </c>
      <c r="K234" s="78">
        <f t="shared" si="15"/>
        <v>21</v>
      </c>
      <c r="L234" s="78">
        <f t="shared" si="15"/>
        <v>21</v>
      </c>
    </row>
    <row r="235" spans="1:12" s="4" customFormat="1" ht="33.75" customHeight="1">
      <c r="A235" s="119" t="s">
        <v>763</v>
      </c>
      <c r="B235" s="111" t="s">
        <v>215</v>
      </c>
      <c r="C235" s="111" t="s">
        <v>139</v>
      </c>
      <c r="D235" s="111" t="s">
        <v>153</v>
      </c>
      <c r="E235" s="111" t="s">
        <v>229</v>
      </c>
      <c r="F235" s="111" t="s">
        <v>764</v>
      </c>
      <c r="G235" s="112"/>
      <c r="H235" s="78">
        <f t="shared" si="15"/>
        <v>21</v>
      </c>
      <c r="I235" s="78">
        <f t="shared" si="15"/>
        <v>21</v>
      </c>
      <c r="J235" s="113">
        <f t="shared" si="10"/>
        <v>0</v>
      </c>
      <c r="K235" s="78">
        <f t="shared" si="15"/>
        <v>21</v>
      </c>
      <c r="L235" s="78">
        <f t="shared" si="15"/>
        <v>21</v>
      </c>
    </row>
    <row r="236" spans="1:12" s="4" customFormat="1" ht="17.25" customHeight="1">
      <c r="A236" s="119" t="s">
        <v>120</v>
      </c>
      <c r="B236" s="111" t="s">
        <v>215</v>
      </c>
      <c r="C236" s="111" t="s">
        <v>139</v>
      </c>
      <c r="D236" s="111" t="s">
        <v>153</v>
      </c>
      <c r="E236" s="111" t="s">
        <v>229</v>
      </c>
      <c r="F236" s="111" t="s">
        <v>764</v>
      </c>
      <c r="G236" s="112" t="s">
        <v>121</v>
      </c>
      <c r="H236" s="78">
        <f>'Пр. 11'!I1164</f>
        <v>21</v>
      </c>
      <c r="I236" s="78">
        <f>'Пр. 11'!J1164</f>
        <v>21</v>
      </c>
      <c r="J236" s="113">
        <f t="shared" si="10"/>
        <v>0</v>
      </c>
      <c r="K236" s="78">
        <f>'Пр. 11'!L1164</f>
        <v>21</v>
      </c>
      <c r="L236" s="78">
        <f>'Пр. 11'!M1164</f>
        <v>21</v>
      </c>
    </row>
    <row r="237" spans="1:12" s="5" customFormat="1" ht="41.25" customHeight="1">
      <c r="A237" s="109" t="s">
        <v>230</v>
      </c>
      <c r="B237" s="71" t="s">
        <v>215</v>
      </c>
      <c r="C237" s="71" t="s">
        <v>140</v>
      </c>
      <c r="D237" s="71" t="s">
        <v>155</v>
      </c>
      <c r="E237" s="71" t="s">
        <v>156</v>
      </c>
      <c r="F237" s="71"/>
      <c r="G237" s="107"/>
      <c r="H237" s="37">
        <f aca="true" t="shared" si="16" ref="H237:I240">H238</f>
        <v>6000</v>
      </c>
      <c r="I237" s="133">
        <f t="shared" si="16"/>
        <v>6000</v>
      </c>
      <c r="J237" s="113">
        <f t="shared" si="10"/>
        <v>0</v>
      </c>
      <c r="K237" s="133">
        <f aca="true" t="shared" si="17" ref="K237:L240">K238</f>
        <v>13717.3</v>
      </c>
      <c r="L237" s="133">
        <f t="shared" si="17"/>
        <v>14293.5</v>
      </c>
    </row>
    <row r="238" spans="1:12" s="5" customFormat="1" ht="63.75" customHeight="1">
      <c r="A238" s="128" t="s">
        <v>897</v>
      </c>
      <c r="B238" s="71" t="s">
        <v>215</v>
      </c>
      <c r="C238" s="71" t="s">
        <v>140</v>
      </c>
      <c r="D238" s="71" t="s">
        <v>153</v>
      </c>
      <c r="E238" s="71" t="s">
        <v>156</v>
      </c>
      <c r="F238" s="71"/>
      <c r="G238" s="107"/>
      <c r="H238" s="133">
        <f t="shared" si="16"/>
        <v>6000</v>
      </c>
      <c r="I238" s="133">
        <f t="shared" si="16"/>
        <v>6000</v>
      </c>
      <c r="J238" s="108">
        <f t="shared" si="10"/>
        <v>0</v>
      </c>
      <c r="K238" s="133">
        <f t="shared" si="17"/>
        <v>13717.3</v>
      </c>
      <c r="L238" s="133">
        <f t="shared" si="17"/>
        <v>14293.5</v>
      </c>
    </row>
    <row r="239" spans="1:12" s="4" customFormat="1" ht="21" customHeight="1">
      <c r="A239" s="114" t="s">
        <v>382</v>
      </c>
      <c r="B239" s="111" t="s">
        <v>215</v>
      </c>
      <c r="C239" s="111" t="s">
        <v>140</v>
      </c>
      <c r="D239" s="111" t="s">
        <v>153</v>
      </c>
      <c r="E239" s="111" t="s">
        <v>383</v>
      </c>
      <c r="F239" s="111"/>
      <c r="G239" s="112"/>
      <c r="H239" s="131">
        <f t="shared" si="16"/>
        <v>6000</v>
      </c>
      <c r="I239" s="131">
        <f t="shared" si="16"/>
        <v>6000</v>
      </c>
      <c r="J239" s="113">
        <f t="shared" si="10"/>
        <v>0</v>
      </c>
      <c r="K239" s="131">
        <f t="shared" si="17"/>
        <v>13717.3</v>
      </c>
      <c r="L239" s="131">
        <f t="shared" si="17"/>
        <v>14293.5</v>
      </c>
    </row>
    <row r="240" spans="1:12" s="4" customFormat="1" ht="37.5" customHeight="1">
      <c r="A240" s="114" t="s">
        <v>771</v>
      </c>
      <c r="B240" s="111" t="s">
        <v>215</v>
      </c>
      <c r="C240" s="111" t="s">
        <v>140</v>
      </c>
      <c r="D240" s="111" t="s">
        <v>153</v>
      </c>
      <c r="E240" s="111" t="s">
        <v>383</v>
      </c>
      <c r="F240" s="111" t="s">
        <v>768</v>
      </c>
      <c r="G240" s="112"/>
      <c r="H240" s="131">
        <f t="shared" si="16"/>
        <v>6000</v>
      </c>
      <c r="I240" s="131">
        <f t="shared" si="16"/>
        <v>6000</v>
      </c>
      <c r="J240" s="113">
        <f t="shared" si="10"/>
        <v>0</v>
      </c>
      <c r="K240" s="131">
        <f t="shared" si="17"/>
        <v>13717.3</v>
      </c>
      <c r="L240" s="131">
        <f t="shared" si="17"/>
        <v>14293.5</v>
      </c>
    </row>
    <row r="241" spans="1:12" s="4" customFormat="1" ht="18" customHeight="1">
      <c r="A241" s="114" t="s">
        <v>122</v>
      </c>
      <c r="B241" s="111" t="s">
        <v>215</v>
      </c>
      <c r="C241" s="111" t="s">
        <v>140</v>
      </c>
      <c r="D241" s="111" t="s">
        <v>153</v>
      </c>
      <c r="E241" s="111" t="s">
        <v>383</v>
      </c>
      <c r="F241" s="111" t="s">
        <v>768</v>
      </c>
      <c r="G241" s="112" t="s">
        <v>123</v>
      </c>
      <c r="H241" s="131">
        <f>'Пр. 11'!I954</f>
        <v>6000</v>
      </c>
      <c r="I241" s="131">
        <f>'Пр. 11'!J954</f>
        <v>6000</v>
      </c>
      <c r="J241" s="113">
        <f t="shared" si="10"/>
        <v>0</v>
      </c>
      <c r="K241" s="131">
        <f>'Пр. 11'!L954</f>
        <v>13717.3</v>
      </c>
      <c r="L241" s="131">
        <f>'Пр. 11'!M954</f>
        <v>14293.5</v>
      </c>
    </row>
    <row r="242" spans="1:12" s="5" customFormat="1" ht="46.5" customHeight="1">
      <c r="A242" s="122" t="s">
        <v>231</v>
      </c>
      <c r="B242" s="71" t="s">
        <v>232</v>
      </c>
      <c r="C242" s="71" t="s">
        <v>154</v>
      </c>
      <c r="D242" s="71" t="s">
        <v>155</v>
      </c>
      <c r="E242" s="71" t="s">
        <v>156</v>
      </c>
      <c r="F242" s="71"/>
      <c r="G242" s="107"/>
      <c r="H242" s="37">
        <f>H243+H286+H353+H387+H400+H420+H432</f>
        <v>1762167.3</v>
      </c>
      <c r="I242" s="37">
        <f>I243+I286+I353+I387+I400+I420+I432</f>
        <v>1778630.2</v>
      </c>
      <c r="J242" s="108">
        <f t="shared" si="10"/>
        <v>16462.899999999907</v>
      </c>
      <c r="K242" s="37">
        <f>K243+K286+K353+K387+K400+K420+K432</f>
        <v>1896782.2</v>
      </c>
      <c r="L242" s="37">
        <f>L243+L286+L353+L387+L400+L420+L432</f>
        <v>2162928.0999999996</v>
      </c>
    </row>
    <row r="243" spans="1:12" s="5" customFormat="1" ht="35.25" customHeight="1">
      <c r="A243" s="109" t="s">
        <v>143</v>
      </c>
      <c r="B243" s="71" t="s">
        <v>232</v>
      </c>
      <c r="C243" s="71" t="s">
        <v>136</v>
      </c>
      <c r="D243" s="71" t="s">
        <v>155</v>
      </c>
      <c r="E243" s="71" t="s">
        <v>156</v>
      </c>
      <c r="F243" s="71"/>
      <c r="G243" s="107"/>
      <c r="H243" s="37">
        <f>H244+H261</f>
        <v>710098</v>
      </c>
      <c r="I243" s="37">
        <f>I244+I261</f>
        <v>715372.1</v>
      </c>
      <c r="J243" s="108">
        <f aca="true" t="shared" si="18" ref="J243:J307">I243-H243</f>
        <v>5274.099999999977</v>
      </c>
      <c r="K243" s="37">
        <f>K244+K261</f>
        <v>659139.7999999999</v>
      </c>
      <c r="L243" s="37">
        <f>L244+L261</f>
        <v>663153.7999999999</v>
      </c>
    </row>
    <row r="244" spans="1:12" s="9" customFormat="1" ht="36" customHeight="1">
      <c r="A244" s="128" t="s">
        <v>233</v>
      </c>
      <c r="B244" s="71" t="s">
        <v>232</v>
      </c>
      <c r="C244" s="105">
        <v>1</v>
      </c>
      <c r="D244" s="71" t="s">
        <v>153</v>
      </c>
      <c r="E244" s="107" t="s">
        <v>156</v>
      </c>
      <c r="F244" s="105"/>
      <c r="G244" s="107"/>
      <c r="H244" s="37">
        <f>H245+H248+H251+H254</f>
        <v>685022</v>
      </c>
      <c r="I244" s="37">
        <f>I245+I248+I251+I254</f>
        <v>685022</v>
      </c>
      <c r="J244" s="108">
        <f t="shared" si="18"/>
        <v>0</v>
      </c>
      <c r="K244" s="37">
        <f>K245+K248+K251+K254</f>
        <v>653707.2999999999</v>
      </c>
      <c r="L244" s="37">
        <f>L245+L248+L251+L254</f>
        <v>657221.2999999999</v>
      </c>
    </row>
    <row r="245" spans="1:12" ht="36" customHeight="1">
      <c r="A245" s="114" t="s">
        <v>200</v>
      </c>
      <c r="B245" s="111" t="s">
        <v>232</v>
      </c>
      <c r="C245" s="129">
        <v>1</v>
      </c>
      <c r="D245" s="111" t="s">
        <v>153</v>
      </c>
      <c r="E245" s="112" t="s">
        <v>201</v>
      </c>
      <c r="F245" s="129"/>
      <c r="G245" s="112"/>
      <c r="H245" s="78">
        <f>H246</f>
        <v>153200.80000000002</v>
      </c>
      <c r="I245" s="78">
        <f>I246</f>
        <v>153200.80000000002</v>
      </c>
      <c r="J245" s="113">
        <f t="shared" si="18"/>
        <v>0</v>
      </c>
      <c r="K245" s="78">
        <f>K246</f>
        <v>152030</v>
      </c>
      <c r="L245" s="78">
        <f>L246</f>
        <v>155544</v>
      </c>
    </row>
    <row r="246" spans="1:12" ht="33.75" customHeight="1">
      <c r="A246" s="114" t="s">
        <v>763</v>
      </c>
      <c r="B246" s="111" t="s">
        <v>232</v>
      </c>
      <c r="C246" s="129">
        <v>1</v>
      </c>
      <c r="D246" s="111" t="s">
        <v>153</v>
      </c>
      <c r="E246" s="112" t="s">
        <v>201</v>
      </c>
      <c r="F246" s="129">
        <v>600</v>
      </c>
      <c r="G246" s="112"/>
      <c r="H246" s="78">
        <f>H247</f>
        <v>153200.80000000002</v>
      </c>
      <c r="I246" s="78">
        <f>I247</f>
        <v>153200.80000000002</v>
      </c>
      <c r="J246" s="113">
        <f t="shared" si="18"/>
        <v>0</v>
      </c>
      <c r="K246" s="78">
        <f>K247</f>
        <v>152030</v>
      </c>
      <c r="L246" s="78">
        <f>L247</f>
        <v>155544</v>
      </c>
    </row>
    <row r="247" spans="1:12" ht="17.25" customHeight="1">
      <c r="A247" s="114" t="s">
        <v>90</v>
      </c>
      <c r="B247" s="111" t="s">
        <v>232</v>
      </c>
      <c r="C247" s="129">
        <v>1</v>
      </c>
      <c r="D247" s="111" t="s">
        <v>153</v>
      </c>
      <c r="E247" s="112" t="s">
        <v>201</v>
      </c>
      <c r="F247" s="129">
        <v>600</v>
      </c>
      <c r="G247" s="112" t="s">
        <v>91</v>
      </c>
      <c r="H247" s="78">
        <f>'Пр. 11'!I969</f>
        <v>153200.80000000002</v>
      </c>
      <c r="I247" s="78">
        <f>'Пр. 11'!J969</f>
        <v>153200.80000000002</v>
      </c>
      <c r="J247" s="113">
        <f t="shared" si="18"/>
        <v>0</v>
      </c>
      <c r="K247" s="78">
        <f>'Пр. 11'!L969</f>
        <v>152030</v>
      </c>
      <c r="L247" s="78">
        <f>'Пр. 11'!M969</f>
        <v>155544</v>
      </c>
    </row>
    <row r="248" spans="1:12" ht="111" customHeight="1">
      <c r="A248" s="114" t="s">
        <v>234</v>
      </c>
      <c r="B248" s="111" t="s">
        <v>232</v>
      </c>
      <c r="C248" s="129">
        <v>1</v>
      </c>
      <c r="D248" s="111" t="s">
        <v>153</v>
      </c>
      <c r="E248" s="112" t="s">
        <v>235</v>
      </c>
      <c r="F248" s="111" t="s">
        <v>236</v>
      </c>
      <c r="G248" s="112" t="s">
        <v>236</v>
      </c>
      <c r="H248" s="78">
        <f>H249</f>
        <v>508062.60000000003</v>
      </c>
      <c r="I248" s="78">
        <f>I249</f>
        <v>508062.60000000003</v>
      </c>
      <c r="J248" s="113">
        <f t="shared" si="18"/>
        <v>0</v>
      </c>
      <c r="K248" s="78">
        <f>K249</f>
        <v>477918.7</v>
      </c>
      <c r="L248" s="78">
        <f>L249</f>
        <v>477918.7</v>
      </c>
    </row>
    <row r="249" spans="1:12" ht="33" customHeight="1">
      <c r="A249" s="114" t="s">
        <v>763</v>
      </c>
      <c r="B249" s="111" t="s">
        <v>232</v>
      </c>
      <c r="C249" s="129">
        <v>1</v>
      </c>
      <c r="D249" s="111" t="s">
        <v>153</v>
      </c>
      <c r="E249" s="112" t="s">
        <v>235</v>
      </c>
      <c r="F249" s="111" t="s">
        <v>764</v>
      </c>
      <c r="G249" s="112" t="s">
        <v>236</v>
      </c>
      <c r="H249" s="78">
        <f>H250</f>
        <v>508062.60000000003</v>
      </c>
      <c r="I249" s="78">
        <f>I250</f>
        <v>508062.60000000003</v>
      </c>
      <c r="J249" s="113">
        <f t="shared" si="18"/>
        <v>0</v>
      </c>
      <c r="K249" s="78">
        <f>K250</f>
        <v>477918.7</v>
      </c>
      <c r="L249" s="78">
        <f>L250</f>
        <v>477918.7</v>
      </c>
    </row>
    <row r="250" spans="1:12" ht="17.25" customHeight="1">
      <c r="A250" s="114" t="s">
        <v>90</v>
      </c>
      <c r="B250" s="111" t="s">
        <v>232</v>
      </c>
      <c r="C250" s="129">
        <v>1</v>
      </c>
      <c r="D250" s="111" t="s">
        <v>153</v>
      </c>
      <c r="E250" s="112" t="s">
        <v>235</v>
      </c>
      <c r="F250" s="111" t="s">
        <v>764</v>
      </c>
      <c r="G250" s="112" t="s">
        <v>91</v>
      </c>
      <c r="H250" s="78">
        <f>'Пр. 11'!I971</f>
        <v>508062.60000000003</v>
      </c>
      <c r="I250" s="78">
        <f>'Пр. 11'!J971</f>
        <v>508062.60000000003</v>
      </c>
      <c r="J250" s="113">
        <f t="shared" si="18"/>
        <v>0</v>
      </c>
      <c r="K250" s="78">
        <f>'Пр. 11'!L971</f>
        <v>477918.7</v>
      </c>
      <c r="L250" s="78">
        <f>'Пр. 11'!M971</f>
        <v>477918.7</v>
      </c>
    </row>
    <row r="251" spans="1:12" ht="35.25" customHeight="1" hidden="1">
      <c r="A251" s="114" t="s">
        <v>237</v>
      </c>
      <c r="B251" s="111" t="s">
        <v>232</v>
      </c>
      <c r="C251" s="129">
        <v>1</v>
      </c>
      <c r="D251" s="111" t="s">
        <v>153</v>
      </c>
      <c r="E251" s="112" t="s">
        <v>238</v>
      </c>
      <c r="F251" s="111"/>
      <c r="G251" s="112"/>
      <c r="H251" s="78">
        <f>H252</f>
        <v>0</v>
      </c>
      <c r="I251" s="331"/>
      <c r="J251" s="113">
        <f t="shared" si="18"/>
        <v>0</v>
      </c>
      <c r="K251" s="331"/>
      <c r="L251" s="331"/>
    </row>
    <row r="252" spans="1:12" ht="32.25" customHeight="1" hidden="1">
      <c r="A252" s="114" t="s">
        <v>763</v>
      </c>
      <c r="B252" s="111" t="s">
        <v>232</v>
      </c>
      <c r="C252" s="129">
        <v>1</v>
      </c>
      <c r="D252" s="111" t="s">
        <v>153</v>
      </c>
      <c r="E252" s="112" t="s">
        <v>238</v>
      </c>
      <c r="F252" s="111" t="s">
        <v>764</v>
      </c>
      <c r="G252" s="112"/>
      <c r="H252" s="78">
        <f>H253</f>
        <v>0</v>
      </c>
      <c r="I252" s="331"/>
      <c r="J252" s="113">
        <f t="shared" si="18"/>
        <v>0</v>
      </c>
      <c r="K252" s="331"/>
      <c r="L252" s="331"/>
    </row>
    <row r="253" spans="1:12" ht="17.25" customHeight="1" hidden="1">
      <c r="A253" s="114" t="s">
        <v>90</v>
      </c>
      <c r="B253" s="111" t="s">
        <v>232</v>
      </c>
      <c r="C253" s="129">
        <v>1</v>
      </c>
      <c r="D253" s="111" t="s">
        <v>153</v>
      </c>
      <c r="E253" s="112" t="s">
        <v>238</v>
      </c>
      <c r="F253" s="111" t="s">
        <v>764</v>
      </c>
      <c r="G253" s="112" t="s">
        <v>91</v>
      </c>
      <c r="H253" s="78">
        <f>'Пр. 11'!I973</f>
        <v>0</v>
      </c>
      <c r="I253" s="78">
        <f>'Пр. 11'!J973</f>
        <v>0</v>
      </c>
      <c r="J253" s="113">
        <f t="shared" si="18"/>
        <v>0</v>
      </c>
      <c r="K253" s="78">
        <f>'Пр. 11'!L973</f>
        <v>0</v>
      </c>
      <c r="L253" s="78">
        <f>'Пр. 11'!M973</f>
        <v>0</v>
      </c>
    </row>
    <row r="254" spans="1:12" s="5" customFormat="1" ht="56.25" customHeight="1">
      <c r="A254" s="114" t="s">
        <v>241</v>
      </c>
      <c r="B254" s="111" t="s">
        <v>232</v>
      </c>
      <c r="C254" s="129">
        <v>1</v>
      </c>
      <c r="D254" s="111" t="s">
        <v>153</v>
      </c>
      <c r="E254" s="112" t="s">
        <v>242</v>
      </c>
      <c r="F254" s="111" t="s">
        <v>236</v>
      </c>
      <c r="G254" s="112" t="s">
        <v>236</v>
      </c>
      <c r="H254" s="78">
        <f>H255+H257+H259</f>
        <v>23758.6</v>
      </c>
      <c r="I254" s="78">
        <f>I255+I257+I259</f>
        <v>23758.6</v>
      </c>
      <c r="J254" s="113">
        <f t="shared" si="18"/>
        <v>0</v>
      </c>
      <c r="K254" s="78">
        <f>K255+K257+K259</f>
        <v>23758.6</v>
      </c>
      <c r="L254" s="78">
        <f>L255+L257+L259</f>
        <v>23758.6</v>
      </c>
    </row>
    <row r="255" spans="1:12" ht="65.25" customHeight="1">
      <c r="A255" s="114" t="s">
        <v>755</v>
      </c>
      <c r="B255" s="111" t="s">
        <v>232</v>
      </c>
      <c r="C255" s="129">
        <v>1</v>
      </c>
      <c r="D255" s="111" t="s">
        <v>153</v>
      </c>
      <c r="E255" s="112" t="s">
        <v>242</v>
      </c>
      <c r="F255" s="111" t="s">
        <v>756</v>
      </c>
      <c r="G255" s="112"/>
      <c r="H255" s="78">
        <f>H256</f>
        <v>729</v>
      </c>
      <c r="I255" s="78">
        <f>I256</f>
        <v>729</v>
      </c>
      <c r="J255" s="113">
        <f t="shared" si="18"/>
        <v>0</v>
      </c>
      <c r="K255" s="78">
        <f>K256</f>
        <v>729</v>
      </c>
      <c r="L255" s="78">
        <f>L256</f>
        <v>729</v>
      </c>
    </row>
    <row r="256" spans="1:12" ht="18.75" customHeight="1">
      <c r="A256" s="114" t="s">
        <v>100</v>
      </c>
      <c r="B256" s="111" t="s">
        <v>232</v>
      </c>
      <c r="C256" s="129">
        <v>1</v>
      </c>
      <c r="D256" s="111" t="s">
        <v>153</v>
      </c>
      <c r="E256" s="112" t="s">
        <v>242</v>
      </c>
      <c r="F256" s="111" t="s">
        <v>756</v>
      </c>
      <c r="G256" s="112" t="s">
        <v>101</v>
      </c>
      <c r="H256" s="78">
        <f>'Пр. 11'!I838</f>
        <v>729</v>
      </c>
      <c r="I256" s="78">
        <f>'Пр. 11'!J838</f>
        <v>729</v>
      </c>
      <c r="J256" s="113">
        <f t="shared" si="18"/>
        <v>0</v>
      </c>
      <c r="K256" s="78">
        <f>'Пр. 11'!L838</f>
        <v>729</v>
      </c>
      <c r="L256" s="78">
        <f>'Пр. 11'!M838</f>
        <v>729</v>
      </c>
    </row>
    <row r="257" spans="1:12" ht="33.75" customHeight="1">
      <c r="A257" s="114" t="s">
        <v>758</v>
      </c>
      <c r="B257" s="111" t="s">
        <v>232</v>
      </c>
      <c r="C257" s="129">
        <v>1</v>
      </c>
      <c r="D257" s="111" t="s">
        <v>153</v>
      </c>
      <c r="E257" s="112" t="s">
        <v>242</v>
      </c>
      <c r="F257" s="111" t="s">
        <v>757</v>
      </c>
      <c r="G257" s="112"/>
      <c r="H257" s="78">
        <f>H258</f>
        <v>145.8</v>
      </c>
      <c r="I257" s="78">
        <f>I258</f>
        <v>145.8</v>
      </c>
      <c r="J257" s="113">
        <f t="shared" si="18"/>
        <v>0</v>
      </c>
      <c r="K257" s="78">
        <f>K258</f>
        <v>145.8</v>
      </c>
      <c r="L257" s="78">
        <f>L258</f>
        <v>145.8</v>
      </c>
    </row>
    <row r="258" spans="1:12" ht="19.5" customHeight="1">
      <c r="A258" s="114" t="s">
        <v>100</v>
      </c>
      <c r="B258" s="111" t="s">
        <v>232</v>
      </c>
      <c r="C258" s="129">
        <v>1</v>
      </c>
      <c r="D258" s="111" t="s">
        <v>153</v>
      </c>
      <c r="E258" s="112" t="s">
        <v>242</v>
      </c>
      <c r="F258" s="111" t="s">
        <v>757</v>
      </c>
      <c r="G258" s="112" t="s">
        <v>101</v>
      </c>
      <c r="H258" s="78">
        <f>'Пр. 11'!I839</f>
        <v>145.8</v>
      </c>
      <c r="I258" s="78">
        <f>'Пр. 11'!J839</f>
        <v>145.8</v>
      </c>
      <c r="J258" s="113">
        <f t="shared" si="18"/>
        <v>0</v>
      </c>
      <c r="K258" s="78">
        <f>'Пр. 11'!L839</f>
        <v>145.8</v>
      </c>
      <c r="L258" s="78">
        <f>'Пр. 11'!M839</f>
        <v>145.8</v>
      </c>
    </row>
    <row r="259" spans="1:12" ht="33.75" customHeight="1">
      <c r="A259" s="123" t="s">
        <v>763</v>
      </c>
      <c r="B259" s="111" t="s">
        <v>232</v>
      </c>
      <c r="C259" s="129">
        <v>1</v>
      </c>
      <c r="D259" s="111" t="s">
        <v>153</v>
      </c>
      <c r="E259" s="112" t="s">
        <v>242</v>
      </c>
      <c r="F259" s="111" t="s">
        <v>764</v>
      </c>
      <c r="G259" s="112" t="s">
        <v>236</v>
      </c>
      <c r="H259" s="78">
        <f>H260</f>
        <v>22883.8</v>
      </c>
      <c r="I259" s="78">
        <f>I260</f>
        <v>22883.8</v>
      </c>
      <c r="J259" s="113">
        <f t="shared" si="18"/>
        <v>0</v>
      </c>
      <c r="K259" s="78">
        <f>K260</f>
        <v>22883.8</v>
      </c>
      <c r="L259" s="78">
        <f>L260</f>
        <v>22883.8</v>
      </c>
    </row>
    <row r="260" spans="1:12" ht="17.25" customHeight="1">
      <c r="A260" s="114" t="s">
        <v>114</v>
      </c>
      <c r="B260" s="111" t="s">
        <v>232</v>
      </c>
      <c r="C260" s="129">
        <v>1</v>
      </c>
      <c r="D260" s="111" t="s">
        <v>153</v>
      </c>
      <c r="E260" s="112" t="s">
        <v>242</v>
      </c>
      <c r="F260" s="111" t="s">
        <v>764</v>
      </c>
      <c r="G260" s="112" t="s">
        <v>115</v>
      </c>
      <c r="H260" s="78">
        <f>'Пр. 11'!I1153</f>
        <v>22883.8</v>
      </c>
      <c r="I260" s="78">
        <f>'Пр. 11'!J1153</f>
        <v>22883.8</v>
      </c>
      <c r="J260" s="113">
        <f t="shared" si="18"/>
        <v>0</v>
      </c>
      <c r="K260" s="78">
        <f>'Пр. 11'!L1153</f>
        <v>22883.8</v>
      </c>
      <c r="L260" s="78">
        <f>'Пр. 11'!M1153</f>
        <v>22883.8</v>
      </c>
    </row>
    <row r="261" spans="1:12" s="9" customFormat="1" ht="32.25" customHeight="1">
      <c r="A261" s="128" t="s">
        <v>243</v>
      </c>
      <c r="B261" s="71" t="s">
        <v>232</v>
      </c>
      <c r="C261" s="105">
        <v>1</v>
      </c>
      <c r="D261" s="71" t="s">
        <v>166</v>
      </c>
      <c r="E261" s="107" t="s">
        <v>156</v>
      </c>
      <c r="F261" s="105"/>
      <c r="G261" s="107"/>
      <c r="H261" s="37">
        <f>H265+H268+H262+H277+H274+H283+H280+H271</f>
        <v>25076.000000000004</v>
      </c>
      <c r="I261" s="37">
        <f>I265+I268+I262+I277+I274+I283+I280+I271</f>
        <v>30350.1</v>
      </c>
      <c r="J261" s="108">
        <f t="shared" si="18"/>
        <v>5274.099999999995</v>
      </c>
      <c r="K261" s="37">
        <f>K265+K268+K262+K277+K274+K283+K280+K271</f>
        <v>5432.5</v>
      </c>
      <c r="L261" s="37">
        <f>L265+L268+L262+L277+L274+L283+L280+L271</f>
        <v>5932.5</v>
      </c>
    </row>
    <row r="262" spans="1:12" ht="21.75" customHeight="1">
      <c r="A262" s="119" t="s">
        <v>244</v>
      </c>
      <c r="B262" s="111" t="s">
        <v>232</v>
      </c>
      <c r="C262" s="129">
        <v>1</v>
      </c>
      <c r="D262" s="111" t="s">
        <v>166</v>
      </c>
      <c r="E262" s="112" t="s">
        <v>209</v>
      </c>
      <c r="F262" s="129"/>
      <c r="G262" s="112"/>
      <c r="H262" s="78">
        <f>H263</f>
        <v>16618.2</v>
      </c>
      <c r="I262" s="78">
        <f>I263</f>
        <v>19862.3</v>
      </c>
      <c r="J262" s="113">
        <f t="shared" si="18"/>
        <v>3244.0999999999985</v>
      </c>
      <c r="K262" s="78">
        <f>K263</f>
        <v>0</v>
      </c>
      <c r="L262" s="78">
        <f>L263</f>
        <v>0</v>
      </c>
    </row>
    <row r="263" spans="1:12" ht="33" customHeight="1">
      <c r="A263" s="114" t="s">
        <v>763</v>
      </c>
      <c r="B263" s="111" t="s">
        <v>232</v>
      </c>
      <c r="C263" s="129">
        <v>1</v>
      </c>
      <c r="D263" s="111" t="s">
        <v>166</v>
      </c>
      <c r="E263" s="112" t="s">
        <v>209</v>
      </c>
      <c r="F263" s="129">
        <v>600</v>
      </c>
      <c r="G263" s="112"/>
      <c r="H263" s="78">
        <f>H264</f>
        <v>16618.2</v>
      </c>
      <c r="I263" s="78">
        <f>I264</f>
        <v>19862.3</v>
      </c>
      <c r="J263" s="113">
        <f t="shared" si="18"/>
        <v>3244.0999999999985</v>
      </c>
      <c r="K263" s="78">
        <f>K264</f>
        <v>0</v>
      </c>
      <c r="L263" s="78">
        <f>L264</f>
        <v>0</v>
      </c>
    </row>
    <row r="264" spans="1:12" ht="21" customHeight="1">
      <c r="A264" s="114" t="s">
        <v>90</v>
      </c>
      <c r="B264" s="111" t="s">
        <v>232</v>
      </c>
      <c r="C264" s="129">
        <v>1</v>
      </c>
      <c r="D264" s="111" t="s">
        <v>166</v>
      </c>
      <c r="E264" s="112" t="s">
        <v>209</v>
      </c>
      <c r="F264" s="129">
        <v>600</v>
      </c>
      <c r="G264" s="112" t="s">
        <v>91</v>
      </c>
      <c r="H264" s="78">
        <f>'Пр. 11'!I976</f>
        <v>16618.2</v>
      </c>
      <c r="I264" s="78">
        <f>'Пр. 11'!J976</f>
        <v>19862.3</v>
      </c>
      <c r="J264" s="113">
        <f t="shared" si="18"/>
        <v>3244.0999999999985</v>
      </c>
      <c r="K264" s="78">
        <f>'Пр. 11'!L976</f>
        <v>0</v>
      </c>
      <c r="L264" s="78">
        <f>'Пр. 11'!M976</f>
        <v>0</v>
      </c>
    </row>
    <row r="265" spans="1:12" ht="32.25" customHeight="1">
      <c r="A265" s="114" t="s">
        <v>245</v>
      </c>
      <c r="B265" s="111" t="s">
        <v>232</v>
      </c>
      <c r="C265" s="129">
        <v>1</v>
      </c>
      <c r="D265" s="111" t="s">
        <v>166</v>
      </c>
      <c r="E265" s="111" t="s">
        <v>246</v>
      </c>
      <c r="F265" s="111"/>
      <c r="G265" s="112"/>
      <c r="H265" s="78">
        <f>H266</f>
        <v>280</v>
      </c>
      <c r="I265" s="78">
        <f>I266</f>
        <v>280</v>
      </c>
      <c r="J265" s="113">
        <f t="shared" si="18"/>
        <v>0</v>
      </c>
      <c r="K265" s="78">
        <f>K266</f>
        <v>1500</v>
      </c>
      <c r="L265" s="78">
        <f>L266</f>
        <v>1600</v>
      </c>
    </row>
    <row r="266" spans="1:12" ht="31.5" customHeight="1">
      <c r="A266" s="22" t="s">
        <v>763</v>
      </c>
      <c r="B266" s="111" t="s">
        <v>232</v>
      </c>
      <c r="C266" s="129">
        <v>1</v>
      </c>
      <c r="D266" s="111" t="s">
        <v>166</v>
      </c>
      <c r="E266" s="111" t="s">
        <v>246</v>
      </c>
      <c r="F266" s="111" t="s">
        <v>764</v>
      </c>
      <c r="G266" s="112"/>
      <c r="H266" s="78">
        <f>H267</f>
        <v>280</v>
      </c>
      <c r="I266" s="78">
        <f>I267</f>
        <v>280</v>
      </c>
      <c r="J266" s="113">
        <f t="shared" si="18"/>
        <v>0</v>
      </c>
      <c r="K266" s="78">
        <f>K267</f>
        <v>1500</v>
      </c>
      <c r="L266" s="78">
        <f>L267</f>
        <v>1600</v>
      </c>
    </row>
    <row r="267" spans="1:12" ht="17.25" customHeight="1">
      <c r="A267" s="114" t="s">
        <v>90</v>
      </c>
      <c r="B267" s="111" t="s">
        <v>232</v>
      </c>
      <c r="C267" s="129">
        <v>1</v>
      </c>
      <c r="D267" s="111" t="s">
        <v>166</v>
      </c>
      <c r="E267" s="111" t="s">
        <v>246</v>
      </c>
      <c r="F267" s="111" t="s">
        <v>764</v>
      </c>
      <c r="G267" s="112" t="s">
        <v>91</v>
      </c>
      <c r="H267" s="78">
        <f>'Пр. 11'!I978</f>
        <v>280</v>
      </c>
      <c r="I267" s="78">
        <f>'Пр. 11'!J978</f>
        <v>280</v>
      </c>
      <c r="J267" s="113">
        <f t="shared" si="18"/>
        <v>0</v>
      </c>
      <c r="K267" s="78">
        <f>'Пр. 11'!L978</f>
        <v>1500</v>
      </c>
      <c r="L267" s="78">
        <f>'Пр. 11'!M978</f>
        <v>1600</v>
      </c>
    </row>
    <row r="268" spans="1:12" ht="20.25" customHeight="1">
      <c r="A268" s="114" t="s">
        <v>1092</v>
      </c>
      <c r="B268" s="111" t="s">
        <v>232</v>
      </c>
      <c r="C268" s="129">
        <v>1</v>
      </c>
      <c r="D268" s="111" t="s">
        <v>166</v>
      </c>
      <c r="E268" s="111" t="s">
        <v>247</v>
      </c>
      <c r="F268" s="111"/>
      <c r="G268" s="112"/>
      <c r="H268" s="78">
        <f>H269</f>
        <v>3099.4</v>
      </c>
      <c r="I268" s="78">
        <f>I269</f>
        <v>5129.4</v>
      </c>
      <c r="J268" s="113">
        <f t="shared" si="18"/>
        <v>2029.9999999999995</v>
      </c>
      <c r="K268" s="78">
        <f>K269</f>
        <v>2000</v>
      </c>
      <c r="L268" s="78">
        <f>L269</f>
        <v>2200</v>
      </c>
    </row>
    <row r="269" spans="1:12" ht="33" customHeight="1">
      <c r="A269" s="22" t="s">
        <v>763</v>
      </c>
      <c r="B269" s="111" t="s">
        <v>232</v>
      </c>
      <c r="C269" s="129">
        <v>1</v>
      </c>
      <c r="D269" s="111" t="s">
        <v>166</v>
      </c>
      <c r="E269" s="111" t="s">
        <v>247</v>
      </c>
      <c r="F269" s="111" t="s">
        <v>764</v>
      </c>
      <c r="G269" s="112"/>
      <c r="H269" s="78">
        <f>H270</f>
        <v>3099.4</v>
      </c>
      <c r="I269" s="78">
        <f>I270</f>
        <v>5129.4</v>
      </c>
      <c r="J269" s="113">
        <f t="shared" si="18"/>
        <v>2029.9999999999995</v>
      </c>
      <c r="K269" s="78">
        <f>K270</f>
        <v>2000</v>
      </c>
      <c r="L269" s="78">
        <f>L270</f>
        <v>2200</v>
      </c>
    </row>
    <row r="270" spans="1:12" ht="17.25" customHeight="1">
      <c r="A270" s="114" t="s">
        <v>90</v>
      </c>
      <c r="B270" s="111" t="s">
        <v>232</v>
      </c>
      <c r="C270" s="129">
        <v>1</v>
      </c>
      <c r="D270" s="111" t="s">
        <v>166</v>
      </c>
      <c r="E270" s="111" t="s">
        <v>247</v>
      </c>
      <c r="F270" s="111" t="s">
        <v>764</v>
      </c>
      <c r="G270" s="112" t="s">
        <v>91</v>
      </c>
      <c r="H270" s="78">
        <f>'Пр. 11'!I980</f>
        <v>3099.4</v>
      </c>
      <c r="I270" s="78">
        <f>'Пр. 11'!J980</f>
        <v>5129.4</v>
      </c>
      <c r="J270" s="113">
        <f t="shared" si="18"/>
        <v>2029.9999999999995</v>
      </c>
      <c r="K270" s="78">
        <f>'Пр. 11'!L980</f>
        <v>2000</v>
      </c>
      <c r="L270" s="78">
        <f>'Пр. 11'!M980</f>
        <v>2200</v>
      </c>
    </row>
    <row r="271" spans="1:12" ht="33.75" customHeight="1">
      <c r="A271" s="121" t="s">
        <v>868</v>
      </c>
      <c r="B271" s="112" t="s">
        <v>232</v>
      </c>
      <c r="C271" s="112" t="s">
        <v>136</v>
      </c>
      <c r="D271" s="112" t="s">
        <v>166</v>
      </c>
      <c r="E271" s="112" t="s">
        <v>867</v>
      </c>
      <c r="F271" s="111"/>
      <c r="G271" s="112"/>
      <c r="H271" s="78">
        <f>H272</f>
        <v>1848.9</v>
      </c>
      <c r="I271" s="78">
        <f>I272</f>
        <v>1848.9</v>
      </c>
      <c r="J271" s="113">
        <f t="shared" si="18"/>
        <v>0</v>
      </c>
      <c r="K271" s="78">
        <f>K272</f>
        <v>0</v>
      </c>
      <c r="L271" s="78">
        <f>L272</f>
        <v>0</v>
      </c>
    </row>
    <row r="272" spans="1:12" ht="34.5" customHeight="1">
      <c r="A272" s="121" t="s">
        <v>763</v>
      </c>
      <c r="B272" s="112" t="s">
        <v>232</v>
      </c>
      <c r="C272" s="112" t="s">
        <v>136</v>
      </c>
      <c r="D272" s="112" t="s">
        <v>166</v>
      </c>
      <c r="E272" s="112" t="s">
        <v>867</v>
      </c>
      <c r="F272" s="111" t="s">
        <v>764</v>
      </c>
      <c r="G272" s="112"/>
      <c r="H272" s="78">
        <f>H273</f>
        <v>1848.9</v>
      </c>
      <c r="I272" s="78">
        <f>I273</f>
        <v>1848.9</v>
      </c>
      <c r="J272" s="113">
        <f t="shared" si="18"/>
        <v>0</v>
      </c>
      <c r="K272" s="78">
        <f>K273</f>
        <v>0</v>
      </c>
      <c r="L272" s="78">
        <f>L273</f>
        <v>0</v>
      </c>
    </row>
    <row r="273" spans="1:12" ht="17.25" customHeight="1">
      <c r="A273" s="114" t="s">
        <v>90</v>
      </c>
      <c r="B273" s="112" t="s">
        <v>232</v>
      </c>
      <c r="C273" s="112" t="s">
        <v>136</v>
      </c>
      <c r="D273" s="112" t="s">
        <v>166</v>
      </c>
      <c r="E273" s="112" t="s">
        <v>867</v>
      </c>
      <c r="F273" s="111" t="s">
        <v>764</v>
      </c>
      <c r="G273" s="112" t="s">
        <v>91</v>
      </c>
      <c r="H273" s="78">
        <f>'Пр. 11'!I982</f>
        <v>1848.9</v>
      </c>
      <c r="I273" s="78">
        <f>'Пр. 11'!J982</f>
        <v>1848.9</v>
      </c>
      <c r="J273" s="113">
        <f t="shared" si="18"/>
        <v>0</v>
      </c>
      <c r="K273" s="78">
        <f>'Пр. 11'!L982</f>
        <v>0</v>
      </c>
      <c r="L273" s="78">
        <f>'Пр. 11'!M982</f>
        <v>0</v>
      </c>
    </row>
    <row r="274" spans="1:12" ht="36.75" customHeight="1">
      <c r="A274" s="114" t="s">
        <v>240</v>
      </c>
      <c r="B274" s="112" t="s">
        <v>232</v>
      </c>
      <c r="C274" s="112" t="s">
        <v>136</v>
      </c>
      <c r="D274" s="111" t="s">
        <v>166</v>
      </c>
      <c r="E274" s="112" t="s">
        <v>1011</v>
      </c>
      <c r="F274" s="111"/>
      <c r="G274" s="112"/>
      <c r="H274" s="78">
        <f>H275</f>
        <v>2347.5</v>
      </c>
      <c r="I274" s="78">
        <f>I275</f>
        <v>2347.5</v>
      </c>
      <c r="J274" s="113">
        <f t="shared" si="18"/>
        <v>0</v>
      </c>
      <c r="K274" s="78">
        <f>K275</f>
        <v>1932.5</v>
      </c>
      <c r="L274" s="78">
        <f>L275</f>
        <v>2132.5</v>
      </c>
    </row>
    <row r="275" spans="1:12" ht="36" customHeight="1">
      <c r="A275" s="114" t="s">
        <v>763</v>
      </c>
      <c r="B275" s="112" t="s">
        <v>232</v>
      </c>
      <c r="C275" s="112" t="s">
        <v>136</v>
      </c>
      <c r="D275" s="111" t="s">
        <v>166</v>
      </c>
      <c r="E275" s="112" t="s">
        <v>1011</v>
      </c>
      <c r="F275" s="111" t="s">
        <v>764</v>
      </c>
      <c r="G275" s="112"/>
      <c r="H275" s="78">
        <f>H276</f>
        <v>2347.5</v>
      </c>
      <c r="I275" s="78">
        <f>I276</f>
        <v>2347.5</v>
      </c>
      <c r="J275" s="113">
        <f t="shared" si="18"/>
        <v>0</v>
      </c>
      <c r="K275" s="78">
        <f>K276</f>
        <v>1932.5</v>
      </c>
      <c r="L275" s="78">
        <f>L276</f>
        <v>2132.5</v>
      </c>
    </row>
    <row r="276" spans="1:12" ht="17.25" customHeight="1">
      <c r="A276" s="114" t="s">
        <v>90</v>
      </c>
      <c r="B276" s="112" t="s">
        <v>232</v>
      </c>
      <c r="C276" s="112" t="s">
        <v>136</v>
      </c>
      <c r="D276" s="111" t="s">
        <v>166</v>
      </c>
      <c r="E276" s="112" t="s">
        <v>1011</v>
      </c>
      <c r="F276" s="111" t="s">
        <v>764</v>
      </c>
      <c r="G276" s="112" t="s">
        <v>91</v>
      </c>
      <c r="H276" s="78">
        <f>'Пр. 11'!I984</f>
        <v>2347.5</v>
      </c>
      <c r="I276" s="78">
        <f>'Пр. 11'!J984</f>
        <v>2347.5</v>
      </c>
      <c r="J276" s="113">
        <f t="shared" si="18"/>
        <v>0</v>
      </c>
      <c r="K276" s="78">
        <f>'Пр. 11'!L984</f>
        <v>1932.5</v>
      </c>
      <c r="L276" s="78">
        <f>'Пр. 11'!M984</f>
        <v>2132.5</v>
      </c>
    </row>
    <row r="277" spans="1:12" ht="52.5" customHeight="1">
      <c r="A277" s="22" t="s">
        <v>210</v>
      </c>
      <c r="B277" s="111" t="s">
        <v>232</v>
      </c>
      <c r="C277" s="129">
        <v>1</v>
      </c>
      <c r="D277" s="111" t="s">
        <v>166</v>
      </c>
      <c r="E277" s="111" t="s">
        <v>211</v>
      </c>
      <c r="F277" s="111"/>
      <c r="G277" s="112"/>
      <c r="H277" s="78">
        <f>H278</f>
        <v>882</v>
      </c>
      <c r="I277" s="78">
        <f>I278</f>
        <v>882</v>
      </c>
      <c r="J277" s="113">
        <f t="shared" si="18"/>
        <v>0</v>
      </c>
      <c r="K277" s="78">
        <f>K278</f>
        <v>0</v>
      </c>
      <c r="L277" s="78">
        <f>L278</f>
        <v>0</v>
      </c>
    </row>
    <row r="278" spans="1:12" ht="36" customHeight="1">
      <c r="A278" s="22" t="s">
        <v>763</v>
      </c>
      <c r="B278" s="111" t="s">
        <v>232</v>
      </c>
      <c r="C278" s="129">
        <v>1</v>
      </c>
      <c r="D278" s="111" t="s">
        <v>166</v>
      </c>
      <c r="E278" s="111" t="s">
        <v>211</v>
      </c>
      <c r="F278" s="111" t="s">
        <v>764</v>
      </c>
      <c r="G278" s="112"/>
      <c r="H278" s="78">
        <f>H279</f>
        <v>882</v>
      </c>
      <c r="I278" s="78">
        <f>I279</f>
        <v>882</v>
      </c>
      <c r="J278" s="113">
        <f t="shared" si="18"/>
        <v>0</v>
      </c>
      <c r="K278" s="78">
        <f>K279</f>
        <v>0</v>
      </c>
      <c r="L278" s="78">
        <f>L279</f>
        <v>0</v>
      </c>
    </row>
    <row r="279" spans="1:12" ht="24" customHeight="1">
      <c r="A279" s="114" t="s">
        <v>90</v>
      </c>
      <c r="B279" s="111" t="s">
        <v>232</v>
      </c>
      <c r="C279" s="129">
        <v>1</v>
      </c>
      <c r="D279" s="111" t="s">
        <v>166</v>
      </c>
      <c r="E279" s="111" t="s">
        <v>211</v>
      </c>
      <c r="F279" s="111" t="s">
        <v>764</v>
      </c>
      <c r="G279" s="112" t="s">
        <v>91</v>
      </c>
      <c r="H279" s="78">
        <f>'Пр. 11'!I986</f>
        <v>882</v>
      </c>
      <c r="I279" s="78">
        <f>'Пр. 11'!J986</f>
        <v>882</v>
      </c>
      <c r="J279" s="113">
        <f t="shared" si="18"/>
        <v>0</v>
      </c>
      <c r="K279" s="78">
        <f>'Пр. 11'!L986</f>
        <v>0</v>
      </c>
      <c r="L279" s="78">
        <f>'Пр. 11'!M986</f>
        <v>0</v>
      </c>
    </row>
    <row r="280" spans="1:12" ht="39.75" customHeight="1" hidden="1">
      <c r="A280" s="121" t="s">
        <v>845</v>
      </c>
      <c r="B280" s="112" t="s">
        <v>232</v>
      </c>
      <c r="C280" s="112" t="s">
        <v>136</v>
      </c>
      <c r="D280" s="111" t="s">
        <v>166</v>
      </c>
      <c r="E280" s="112" t="s">
        <v>846</v>
      </c>
      <c r="F280" s="111"/>
      <c r="G280" s="112"/>
      <c r="H280" s="78">
        <f>H281</f>
        <v>0</v>
      </c>
      <c r="I280" s="78">
        <f>I281</f>
        <v>0</v>
      </c>
      <c r="J280" s="113">
        <f t="shared" si="18"/>
        <v>0</v>
      </c>
      <c r="K280" s="78">
        <f>K281</f>
        <v>0</v>
      </c>
      <c r="L280" s="78">
        <f>L281</f>
        <v>0</v>
      </c>
    </row>
    <row r="281" spans="1:12" ht="29.25" customHeight="1" hidden="1">
      <c r="A281" s="121" t="s">
        <v>763</v>
      </c>
      <c r="B281" s="112" t="s">
        <v>232</v>
      </c>
      <c r="C281" s="112" t="s">
        <v>136</v>
      </c>
      <c r="D281" s="111" t="s">
        <v>166</v>
      </c>
      <c r="E281" s="112" t="s">
        <v>846</v>
      </c>
      <c r="F281" s="111" t="s">
        <v>764</v>
      </c>
      <c r="G281" s="112"/>
      <c r="H281" s="78">
        <f>H282</f>
        <v>0</v>
      </c>
      <c r="I281" s="78">
        <f>I282</f>
        <v>0</v>
      </c>
      <c r="J281" s="113">
        <f t="shared" si="18"/>
        <v>0</v>
      </c>
      <c r="K281" s="78">
        <f>K282</f>
        <v>0</v>
      </c>
      <c r="L281" s="78">
        <f>L282</f>
        <v>0</v>
      </c>
    </row>
    <row r="282" spans="1:12" ht="19.5" customHeight="1" hidden="1">
      <c r="A282" s="114" t="s">
        <v>90</v>
      </c>
      <c r="B282" s="112" t="s">
        <v>232</v>
      </c>
      <c r="C282" s="112" t="s">
        <v>136</v>
      </c>
      <c r="D282" s="111" t="s">
        <v>166</v>
      </c>
      <c r="E282" s="112" t="s">
        <v>846</v>
      </c>
      <c r="F282" s="111" t="s">
        <v>764</v>
      </c>
      <c r="G282" s="112" t="s">
        <v>91</v>
      </c>
      <c r="H282" s="78">
        <f>'Пр. 11'!I988</f>
        <v>0</v>
      </c>
      <c r="I282" s="78">
        <f>'Пр. 11'!J988</f>
        <v>0</v>
      </c>
      <c r="J282" s="113">
        <f t="shared" si="18"/>
        <v>0</v>
      </c>
      <c r="K282" s="78">
        <f>'Пр. 11'!L988</f>
        <v>0</v>
      </c>
      <c r="L282" s="78">
        <f>'Пр. 11'!M988</f>
        <v>0</v>
      </c>
    </row>
    <row r="283" spans="1:12" ht="18" customHeight="1" hidden="1">
      <c r="A283" s="123" t="s">
        <v>266</v>
      </c>
      <c r="B283" s="112" t="s">
        <v>232</v>
      </c>
      <c r="C283" s="112" t="s">
        <v>136</v>
      </c>
      <c r="D283" s="111" t="s">
        <v>166</v>
      </c>
      <c r="E283" s="112" t="s">
        <v>267</v>
      </c>
      <c r="F283" s="111"/>
      <c r="G283" s="112"/>
      <c r="H283" s="78">
        <f>H284</f>
        <v>0</v>
      </c>
      <c r="I283" s="78">
        <f>I284</f>
        <v>0</v>
      </c>
      <c r="J283" s="113">
        <f t="shared" si="18"/>
        <v>0</v>
      </c>
      <c r="K283" s="78">
        <f>K284</f>
        <v>0</v>
      </c>
      <c r="L283" s="78">
        <f>L284</f>
        <v>0</v>
      </c>
    </row>
    <row r="284" spans="1:12" ht="36" customHeight="1" hidden="1">
      <c r="A284" s="123" t="s">
        <v>763</v>
      </c>
      <c r="B284" s="112" t="s">
        <v>232</v>
      </c>
      <c r="C284" s="112" t="s">
        <v>136</v>
      </c>
      <c r="D284" s="111" t="s">
        <v>166</v>
      </c>
      <c r="E284" s="112" t="s">
        <v>267</v>
      </c>
      <c r="F284" s="111" t="s">
        <v>764</v>
      </c>
      <c r="G284" s="112"/>
      <c r="H284" s="78">
        <f>H285</f>
        <v>0</v>
      </c>
      <c r="I284" s="78">
        <f>I285</f>
        <v>0</v>
      </c>
      <c r="J284" s="113">
        <f t="shared" si="18"/>
        <v>0</v>
      </c>
      <c r="K284" s="78">
        <f>K285</f>
        <v>0</v>
      </c>
      <c r="L284" s="78">
        <f>L285</f>
        <v>0</v>
      </c>
    </row>
    <row r="285" spans="1:12" ht="18" customHeight="1" hidden="1">
      <c r="A285" s="114" t="s">
        <v>90</v>
      </c>
      <c r="B285" s="112" t="s">
        <v>232</v>
      </c>
      <c r="C285" s="112" t="s">
        <v>136</v>
      </c>
      <c r="D285" s="111" t="s">
        <v>166</v>
      </c>
      <c r="E285" s="112" t="s">
        <v>267</v>
      </c>
      <c r="F285" s="111" t="s">
        <v>764</v>
      </c>
      <c r="G285" s="112" t="s">
        <v>91</v>
      </c>
      <c r="H285" s="78">
        <f>'Пр. 11'!I990</f>
        <v>0</v>
      </c>
      <c r="I285" s="78">
        <f>'Пр. 11'!J990</f>
        <v>0</v>
      </c>
      <c r="J285" s="113">
        <f t="shared" si="18"/>
        <v>0</v>
      </c>
      <c r="K285" s="78">
        <f>'Пр. 11'!L990</f>
        <v>0</v>
      </c>
      <c r="L285" s="78">
        <f>'Пр. 11'!M990</f>
        <v>0</v>
      </c>
    </row>
    <row r="286" spans="1:12" s="9" customFormat="1" ht="56.25" customHeight="1">
      <c r="A286" s="109" t="s">
        <v>248</v>
      </c>
      <c r="B286" s="71" t="s">
        <v>232</v>
      </c>
      <c r="C286" s="71" t="s">
        <v>137</v>
      </c>
      <c r="D286" s="71" t="s">
        <v>155</v>
      </c>
      <c r="E286" s="71" t="s">
        <v>156</v>
      </c>
      <c r="F286" s="71"/>
      <c r="G286" s="37"/>
      <c r="H286" s="37">
        <f>H287+H301+H313+H349+H345</f>
        <v>808310</v>
      </c>
      <c r="I286" s="37">
        <f>I287+I301+I313+I349+I345</f>
        <v>817660.3</v>
      </c>
      <c r="J286" s="108">
        <f t="shared" si="18"/>
        <v>9350.300000000047</v>
      </c>
      <c r="K286" s="37">
        <f>K287+K301+K313+K349+K345</f>
        <v>1003349.7</v>
      </c>
      <c r="L286" s="37">
        <f>L287+L301+L313+L349+L345</f>
        <v>1265541.7999999998</v>
      </c>
    </row>
    <row r="287" spans="1:12" s="9" customFormat="1" ht="32.25" customHeight="1">
      <c r="A287" s="128" t="s">
        <v>249</v>
      </c>
      <c r="B287" s="107" t="s">
        <v>232</v>
      </c>
      <c r="C287" s="105" t="s">
        <v>137</v>
      </c>
      <c r="D287" s="107" t="s">
        <v>153</v>
      </c>
      <c r="E287" s="107" t="s">
        <v>156</v>
      </c>
      <c r="F287" s="71"/>
      <c r="G287" s="107"/>
      <c r="H287" s="37">
        <f>H288+H291+H294</f>
        <v>694570</v>
      </c>
      <c r="I287" s="37">
        <f>I288+I291+I294</f>
        <v>694570</v>
      </c>
      <c r="J287" s="108">
        <f t="shared" si="18"/>
        <v>0</v>
      </c>
      <c r="K287" s="37">
        <f>K288+K291+K294</f>
        <v>675364.6</v>
      </c>
      <c r="L287" s="37">
        <f>L288+L291+L294</f>
        <v>675747.6</v>
      </c>
    </row>
    <row r="288" spans="1:12" ht="33" customHeight="1">
      <c r="A288" s="114" t="s">
        <v>200</v>
      </c>
      <c r="B288" s="112" t="s">
        <v>232</v>
      </c>
      <c r="C288" s="129">
        <v>2</v>
      </c>
      <c r="D288" s="112" t="s">
        <v>153</v>
      </c>
      <c r="E288" s="112" t="s">
        <v>201</v>
      </c>
      <c r="F288" s="111"/>
      <c r="G288" s="112"/>
      <c r="H288" s="78">
        <f>H289</f>
        <v>98699.59999999999</v>
      </c>
      <c r="I288" s="78">
        <f>I289</f>
        <v>98699.59999999999</v>
      </c>
      <c r="J288" s="113">
        <f t="shared" si="18"/>
        <v>0</v>
      </c>
      <c r="K288" s="78">
        <f>K289</f>
        <v>94588</v>
      </c>
      <c r="L288" s="78">
        <f>L289</f>
        <v>94971</v>
      </c>
    </row>
    <row r="289" spans="1:12" ht="33.75" customHeight="1">
      <c r="A289" s="114" t="s">
        <v>763</v>
      </c>
      <c r="B289" s="112" t="s">
        <v>232</v>
      </c>
      <c r="C289" s="129">
        <v>2</v>
      </c>
      <c r="D289" s="112" t="s">
        <v>153</v>
      </c>
      <c r="E289" s="112" t="s">
        <v>201</v>
      </c>
      <c r="F289" s="111" t="s">
        <v>764</v>
      </c>
      <c r="G289" s="112"/>
      <c r="H289" s="78">
        <f>H290</f>
        <v>98699.59999999999</v>
      </c>
      <c r="I289" s="78">
        <f>I290</f>
        <v>98699.59999999999</v>
      </c>
      <c r="J289" s="113">
        <f t="shared" si="18"/>
        <v>0</v>
      </c>
      <c r="K289" s="78">
        <f>K290</f>
        <v>94588</v>
      </c>
      <c r="L289" s="78">
        <f>L290</f>
        <v>94971</v>
      </c>
    </row>
    <row r="290" spans="1:12" ht="17.25" customHeight="1">
      <c r="A290" s="114" t="s">
        <v>92</v>
      </c>
      <c r="B290" s="112" t="s">
        <v>232</v>
      </c>
      <c r="C290" s="129">
        <v>2</v>
      </c>
      <c r="D290" s="112" t="s">
        <v>153</v>
      </c>
      <c r="E290" s="112" t="s">
        <v>201</v>
      </c>
      <c r="F290" s="111" t="s">
        <v>764</v>
      </c>
      <c r="G290" s="112" t="s">
        <v>93</v>
      </c>
      <c r="H290" s="78">
        <f>'Пр. 11'!I1003</f>
        <v>98699.59999999999</v>
      </c>
      <c r="I290" s="78">
        <f>'Пр. 11'!J1003</f>
        <v>98699.59999999999</v>
      </c>
      <c r="J290" s="113">
        <f t="shared" si="18"/>
        <v>0</v>
      </c>
      <c r="K290" s="78">
        <f>'Пр. 11'!L1003</f>
        <v>94588</v>
      </c>
      <c r="L290" s="78">
        <f>'Пр. 11'!M1003</f>
        <v>94971</v>
      </c>
    </row>
    <row r="291" spans="1:12" ht="135.75" customHeight="1">
      <c r="A291" s="114" t="s">
        <v>250</v>
      </c>
      <c r="B291" s="112" t="s">
        <v>232</v>
      </c>
      <c r="C291" s="129">
        <v>2</v>
      </c>
      <c r="D291" s="112" t="s">
        <v>153</v>
      </c>
      <c r="E291" s="112" t="s">
        <v>251</v>
      </c>
      <c r="F291" s="111"/>
      <c r="G291" s="112"/>
      <c r="H291" s="78">
        <f>H292</f>
        <v>553805</v>
      </c>
      <c r="I291" s="78">
        <f>I292</f>
        <v>553805</v>
      </c>
      <c r="J291" s="113">
        <f t="shared" si="18"/>
        <v>0</v>
      </c>
      <c r="K291" s="78">
        <f>K292</f>
        <v>538711.2</v>
      </c>
      <c r="L291" s="78">
        <f>L292</f>
        <v>538711.2</v>
      </c>
    </row>
    <row r="292" spans="1:12" ht="36" customHeight="1">
      <c r="A292" s="114" t="s">
        <v>763</v>
      </c>
      <c r="B292" s="112" t="s">
        <v>232</v>
      </c>
      <c r="C292" s="129">
        <v>2</v>
      </c>
      <c r="D292" s="112" t="s">
        <v>153</v>
      </c>
      <c r="E292" s="112" t="s">
        <v>251</v>
      </c>
      <c r="F292" s="111" t="s">
        <v>764</v>
      </c>
      <c r="G292" s="112"/>
      <c r="H292" s="78">
        <f>H293</f>
        <v>553805</v>
      </c>
      <c r="I292" s="78">
        <f>I293</f>
        <v>553805</v>
      </c>
      <c r="J292" s="113">
        <f t="shared" si="18"/>
        <v>0</v>
      </c>
      <c r="K292" s="78">
        <f>K293</f>
        <v>538711.2</v>
      </c>
      <c r="L292" s="78">
        <f>L293</f>
        <v>538711.2</v>
      </c>
    </row>
    <row r="293" spans="1:12" ht="17.25" customHeight="1">
      <c r="A293" s="114" t="s">
        <v>92</v>
      </c>
      <c r="B293" s="112" t="s">
        <v>232</v>
      </c>
      <c r="C293" s="129">
        <v>2</v>
      </c>
      <c r="D293" s="112" t="s">
        <v>153</v>
      </c>
      <c r="E293" s="112" t="s">
        <v>251</v>
      </c>
      <c r="F293" s="111" t="s">
        <v>764</v>
      </c>
      <c r="G293" s="112" t="s">
        <v>93</v>
      </c>
      <c r="H293" s="78">
        <f>'Пр. 11'!I1005</f>
        <v>553805</v>
      </c>
      <c r="I293" s="78">
        <f>'Пр. 11'!J1005</f>
        <v>553805</v>
      </c>
      <c r="J293" s="113">
        <f t="shared" si="18"/>
        <v>0</v>
      </c>
      <c r="K293" s="78">
        <f>'Пр. 11'!L1005</f>
        <v>538711.2</v>
      </c>
      <c r="L293" s="78">
        <f>'Пр. 11'!M1005</f>
        <v>538711.2</v>
      </c>
    </row>
    <row r="294" spans="1:12" ht="120.75" customHeight="1">
      <c r="A294" s="114" t="s">
        <v>260</v>
      </c>
      <c r="B294" s="112" t="s">
        <v>232</v>
      </c>
      <c r="C294" s="129">
        <v>2</v>
      </c>
      <c r="D294" s="112" t="s">
        <v>153</v>
      </c>
      <c r="E294" s="112" t="s">
        <v>261</v>
      </c>
      <c r="F294" s="111"/>
      <c r="G294" s="112"/>
      <c r="H294" s="78">
        <f>H295+H297+H299</f>
        <v>42065.399999999994</v>
      </c>
      <c r="I294" s="78">
        <f>I295+I297+I299</f>
        <v>42065.399999999994</v>
      </c>
      <c r="J294" s="113">
        <f t="shared" si="18"/>
        <v>0</v>
      </c>
      <c r="K294" s="78">
        <f>K295+K297+K299</f>
        <v>42065.399999999994</v>
      </c>
      <c r="L294" s="78">
        <f>L295+L297+L299</f>
        <v>42065.399999999994</v>
      </c>
    </row>
    <row r="295" spans="1:12" ht="71.25" customHeight="1">
      <c r="A295" s="114" t="s">
        <v>755</v>
      </c>
      <c r="B295" s="112" t="s">
        <v>232</v>
      </c>
      <c r="C295" s="129">
        <v>2</v>
      </c>
      <c r="D295" s="112" t="s">
        <v>153</v>
      </c>
      <c r="E295" s="112" t="s">
        <v>261</v>
      </c>
      <c r="F295" s="111" t="s">
        <v>756</v>
      </c>
      <c r="G295" s="112"/>
      <c r="H295" s="78">
        <f>H296</f>
        <v>832.7</v>
      </c>
      <c r="I295" s="78">
        <f>I296</f>
        <v>832.7</v>
      </c>
      <c r="J295" s="113">
        <f t="shared" si="18"/>
        <v>0</v>
      </c>
      <c r="K295" s="78">
        <f>K296</f>
        <v>832.7</v>
      </c>
      <c r="L295" s="78">
        <f>L296</f>
        <v>832.7</v>
      </c>
    </row>
    <row r="296" spans="1:12" ht="18.75" customHeight="1">
      <c r="A296" s="114" t="s">
        <v>100</v>
      </c>
      <c r="B296" s="112" t="s">
        <v>232</v>
      </c>
      <c r="C296" s="129">
        <v>2</v>
      </c>
      <c r="D296" s="112" t="s">
        <v>153</v>
      </c>
      <c r="E296" s="112" t="s">
        <v>261</v>
      </c>
      <c r="F296" s="111" t="s">
        <v>756</v>
      </c>
      <c r="G296" s="112" t="s">
        <v>101</v>
      </c>
      <c r="H296" s="78">
        <f>'Пр. 11'!I843</f>
        <v>832.7</v>
      </c>
      <c r="I296" s="78">
        <f>'Пр. 11'!J843</f>
        <v>832.7</v>
      </c>
      <c r="J296" s="113">
        <f t="shared" si="18"/>
        <v>0</v>
      </c>
      <c r="K296" s="78">
        <f>'Пр. 11'!L843</f>
        <v>832.7</v>
      </c>
      <c r="L296" s="78">
        <f>'Пр. 11'!M843</f>
        <v>832.7</v>
      </c>
    </row>
    <row r="297" spans="1:12" ht="38.25" customHeight="1">
      <c r="A297" s="114" t="s">
        <v>758</v>
      </c>
      <c r="B297" s="112" t="s">
        <v>232</v>
      </c>
      <c r="C297" s="129">
        <v>2</v>
      </c>
      <c r="D297" s="112" t="s">
        <v>153</v>
      </c>
      <c r="E297" s="112" t="s">
        <v>261</v>
      </c>
      <c r="F297" s="111" t="s">
        <v>757</v>
      </c>
      <c r="G297" s="112"/>
      <c r="H297" s="78">
        <f>H298</f>
        <v>166.5</v>
      </c>
      <c r="I297" s="78">
        <f>I298</f>
        <v>166.5</v>
      </c>
      <c r="J297" s="113">
        <f t="shared" si="18"/>
        <v>0</v>
      </c>
      <c r="K297" s="78">
        <f>K298</f>
        <v>166.5</v>
      </c>
      <c r="L297" s="78">
        <f>L298</f>
        <v>166.5</v>
      </c>
    </row>
    <row r="298" spans="1:12" ht="21" customHeight="1">
      <c r="A298" s="114" t="s">
        <v>100</v>
      </c>
      <c r="B298" s="112" t="s">
        <v>232</v>
      </c>
      <c r="C298" s="129">
        <v>2</v>
      </c>
      <c r="D298" s="112" t="s">
        <v>153</v>
      </c>
      <c r="E298" s="112" t="s">
        <v>261</v>
      </c>
      <c r="F298" s="111" t="s">
        <v>757</v>
      </c>
      <c r="G298" s="112" t="s">
        <v>101</v>
      </c>
      <c r="H298" s="78">
        <f>'Пр. 11'!I844</f>
        <v>166.5</v>
      </c>
      <c r="I298" s="78">
        <f>'Пр. 11'!J844</f>
        <v>166.5</v>
      </c>
      <c r="J298" s="113">
        <f t="shared" si="18"/>
        <v>0</v>
      </c>
      <c r="K298" s="78">
        <f>'Пр. 11'!L844</f>
        <v>166.5</v>
      </c>
      <c r="L298" s="78">
        <f>'Пр. 11'!M844</f>
        <v>166.5</v>
      </c>
    </row>
    <row r="299" spans="1:12" ht="33" customHeight="1">
      <c r="A299" s="22" t="s">
        <v>763</v>
      </c>
      <c r="B299" s="112" t="s">
        <v>232</v>
      </c>
      <c r="C299" s="129">
        <v>2</v>
      </c>
      <c r="D299" s="112" t="s">
        <v>153</v>
      </c>
      <c r="E299" s="112" t="s">
        <v>261</v>
      </c>
      <c r="F299" s="111" t="s">
        <v>764</v>
      </c>
      <c r="G299" s="112" t="s">
        <v>236</v>
      </c>
      <c r="H299" s="78">
        <f>H300</f>
        <v>41066.2</v>
      </c>
      <c r="I299" s="78">
        <f>I300</f>
        <v>41066.2</v>
      </c>
      <c r="J299" s="113">
        <f t="shared" si="18"/>
        <v>0</v>
      </c>
      <c r="K299" s="78">
        <f>K300</f>
        <v>41066.2</v>
      </c>
      <c r="L299" s="78">
        <f>L300</f>
        <v>41066.2</v>
      </c>
    </row>
    <row r="300" spans="1:12" ht="20.25" customHeight="1">
      <c r="A300" s="114" t="s">
        <v>112</v>
      </c>
      <c r="B300" s="112" t="s">
        <v>232</v>
      </c>
      <c r="C300" s="129">
        <v>2</v>
      </c>
      <c r="D300" s="112" t="s">
        <v>153</v>
      </c>
      <c r="E300" s="112" t="s">
        <v>261</v>
      </c>
      <c r="F300" s="111" t="s">
        <v>764</v>
      </c>
      <c r="G300" s="112" t="s">
        <v>113</v>
      </c>
      <c r="H300" s="78">
        <f>'Пр. 11'!I1147</f>
        <v>41066.2</v>
      </c>
      <c r="I300" s="78">
        <f>'Пр. 11'!J1147</f>
        <v>41066.2</v>
      </c>
      <c r="J300" s="113">
        <f t="shared" si="18"/>
        <v>0</v>
      </c>
      <c r="K300" s="78">
        <f>'Пр. 11'!L1147</f>
        <v>41066.2</v>
      </c>
      <c r="L300" s="78">
        <f>'Пр. 11'!M1147</f>
        <v>41066.2</v>
      </c>
    </row>
    <row r="301" spans="1:12" s="9" customFormat="1" ht="35.25" customHeight="1">
      <c r="A301" s="128" t="s">
        <v>252</v>
      </c>
      <c r="B301" s="107" t="s">
        <v>232</v>
      </c>
      <c r="C301" s="105">
        <v>2</v>
      </c>
      <c r="D301" s="107" t="s">
        <v>166</v>
      </c>
      <c r="E301" s="107" t="s">
        <v>156</v>
      </c>
      <c r="F301" s="71"/>
      <c r="G301" s="107"/>
      <c r="H301" s="37">
        <f>H302+H305+H310</f>
        <v>2160</v>
      </c>
      <c r="I301" s="37">
        <f>I302+I305+I310</f>
        <v>2160</v>
      </c>
      <c r="J301" s="108">
        <f t="shared" si="18"/>
        <v>0</v>
      </c>
      <c r="K301" s="37">
        <f>K302+K305+K310</f>
        <v>1700</v>
      </c>
      <c r="L301" s="37">
        <f>L302+L305</f>
        <v>1800</v>
      </c>
    </row>
    <row r="302" spans="1:12" ht="35.25" customHeight="1">
      <c r="A302" s="134" t="s">
        <v>253</v>
      </c>
      <c r="B302" s="112" t="s">
        <v>232</v>
      </c>
      <c r="C302" s="129">
        <v>2</v>
      </c>
      <c r="D302" s="112" t="s">
        <v>166</v>
      </c>
      <c r="E302" s="112" t="s">
        <v>254</v>
      </c>
      <c r="F302" s="111"/>
      <c r="G302" s="112"/>
      <c r="H302" s="78">
        <f>H303</f>
        <v>100</v>
      </c>
      <c r="I302" s="78">
        <f>I303</f>
        <v>100</v>
      </c>
      <c r="J302" s="113">
        <f t="shared" si="18"/>
        <v>0</v>
      </c>
      <c r="K302" s="78">
        <f>K303</f>
        <v>700</v>
      </c>
      <c r="L302" s="78">
        <f>L303</f>
        <v>800</v>
      </c>
    </row>
    <row r="303" spans="1:12" ht="36.75" customHeight="1">
      <c r="A303" s="22" t="s">
        <v>763</v>
      </c>
      <c r="B303" s="112" t="s">
        <v>232</v>
      </c>
      <c r="C303" s="129">
        <v>2</v>
      </c>
      <c r="D303" s="112" t="s">
        <v>166</v>
      </c>
      <c r="E303" s="112" t="s">
        <v>254</v>
      </c>
      <c r="F303" s="111" t="s">
        <v>764</v>
      </c>
      <c r="G303" s="112"/>
      <c r="H303" s="78">
        <f>H304</f>
        <v>100</v>
      </c>
      <c r="I303" s="78">
        <f>I304</f>
        <v>100</v>
      </c>
      <c r="J303" s="113">
        <f t="shared" si="18"/>
        <v>0</v>
      </c>
      <c r="K303" s="78">
        <f>K304</f>
        <v>700</v>
      </c>
      <c r="L303" s="78">
        <f>L304</f>
        <v>800</v>
      </c>
    </row>
    <row r="304" spans="1:12" ht="17.25" customHeight="1">
      <c r="A304" s="114" t="s">
        <v>92</v>
      </c>
      <c r="B304" s="112" t="s">
        <v>232</v>
      </c>
      <c r="C304" s="129">
        <v>2</v>
      </c>
      <c r="D304" s="112" t="s">
        <v>166</v>
      </c>
      <c r="E304" s="112" t="s">
        <v>254</v>
      </c>
      <c r="F304" s="111" t="s">
        <v>764</v>
      </c>
      <c r="G304" s="112" t="s">
        <v>93</v>
      </c>
      <c r="H304" s="78">
        <f>'Пр. 11'!I1008</f>
        <v>100</v>
      </c>
      <c r="I304" s="78">
        <f>'Пр. 11'!J1008</f>
        <v>100</v>
      </c>
      <c r="J304" s="113">
        <f t="shared" si="18"/>
        <v>0</v>
      </c>
      <c r="K304" s="78">
        <f>'Пр. 11'!L1008</f>
        <v>700</v>
      </c>
      <c r="L304" s="78">
        <f>'Пр. 11'!M1008</f>
        <v>800</v>
      </c>
    </row>
    <row r="305" spans="1:12" ht="37.5" customHeight="1">
      <c r="A305" s="134" t="s">
        <v>255</v>
      </c>
      <c r="B305" s="112" t="s">
        <v>232</v>
      </c>
      <c r="C305" s="129">
        <v>2</v>
      </c>
      <c r="D305" s="112" t="s">
        <v>166</v>
      </c>
      <c r="E305" s="112" t="s">
        <v>256</v>
      </c>
      <c r="F305" s="111"/>
      <c r="G305" s="112"/>
      <c r="H305" s="78">
        <f>H308+H306</f>
        <v>1200</v>
      </c>
      <c r="I305" s="78">
        <f>I308+I306</f>
        <v>1200</v>
      </c>
      <c r="J305" s="113">
        <f t="shared" si="18"/>
        <v>0</v>
      </c>
      <c r="K305" s="78">
        <f>K308+K306</f>
        <v>1000</v>
      </c>
      <c r="L305" s="78">
        <f>L308+L306</f>
        <v>1000</v>
      </c>
    </row>
    <row r="306" spans="1:12" ht="32.25" customHeight="1">
      <c r="A306" s="134" t="s">
        <v>758</v>
      </c>
      <c r="B306" s="112" t="s">
        <v>232</v>
      </c>
      <c r="C306" s="129">
        <v>2</v>
      </c>
      <c r="D306" s="112" t="s">
        <v>166</v>
      </c>
      <c r="E306" s="112" t="s">
        <v>256</v>
      </c>
      <c r="F306" s="111" t="s">
        <v>757</v>
      </c>
      <c r="G306" s="112"/>
      <c r="H306" s="78">
        <f>H307</f>
        <v>80</v>
      </c>
      <c r="I306" s="78">
        <f>I307</f>
        <v>80</v>
      </c>
      <c r="J306" s="113">
        <f t="shared" si="18"/>
        <v>0</v>
      </c>
      <c r="K306" s="78">
        <f>K307</f>
        <v>1000</v>
      </c>
      <c r="L306" s="78">
        <f>L307</f>
        <v>1000</v>
      </c>
    </row>
    <row r="307" spans="1:12" ht="19.5" customHeight="1">
      <c r="A307" s="114" t="s">
        <v>92</v>
      </c>
      <c r="B307" s="112" t="s">
        <v>232</v>
      </c>
      <c r="C307" s="129">
        <v>2</v>
      </c>
      <c r="D307" s="112" t="s">
        <v>166</v>
      </c>
      <c r="E307" s="112" t="s">
        <v>256</v>
      </c>
      <c r="F307" s="111" t="s">
        <v>757</v>
      </c>
      <c r="G307" s="112" t="s">
        <v>93</v>
      </c>
      <c r="H307" s="78">
        <f>'Пр. 11'!I1010</f>
        <v>80</v>
      </c>
      <c r="I307" s="78">
        <f>'Пр. 11'!J1010</f>
        <v>80</v>
      </c>
      <c r="J307" s="113">
        <f t="shared" si="18"/>
        <v>0</v>
      </c>
      <c r="K307" s="78">
        <f>'Пр. 11'!L1010</f>
        <v>1000</v>
      </c>
      <c r="L307" s="78">
        <f>'Пр. 11'!M1010</f>
        <v>1000</v>
      </c>
    </row>
    <row r="308" spans="1:12" ht="31.5" customHeight="1">
      <c r="A308" s="22" t="s">
        <v>763</v>
      </c>
      <c r="B308" s="112" t="s">
        <v>232</v>
      </c>
      <c r="C308" s="129">
        <v>2</v>
      </c>
      <c r="D308" s="112" t="s">
        <v>166</v>
      </c>
      <c r="E308" s="112" t="s">
        <v>256</v>
      </c>
      <c r="F308" s="111" t="s">
        <v>764</v>
      </c>
      <c r="G308" s="112"/>
      <c r="H308" s="78">
        <f>H309</f>
        <v>1120</v>
      </c>
      <c r="I308" s="78">
        <f>I309</f>
        <v>1120</v>
      </c>
      <c r="J308" s="113">
        <f aca="true" t="shared" si="19" ref="J308:J371">I308-H308</f>
        <v>0</v>
      </c>
      <c r="K308" s="78">
        <f>K309</f>
        <v>0</v>
      </c>
      <c r="L308" s="78">
        <f>L309</f>
        <v>0</v>
      </c>
    </row>
    <row r="309" spans="1:12" ht="17.25" customHeight="1">
      <c r="A309" s="114" t="s">
        <v>92</v>
      </c>
      <c r="B309" s="112" t="s">
        <v>232</v>
      </c>
      <c r="C309" s="129">
        <v>2</v>
      </c>
      <c r="D309" s="112" t="s">
        <v>166</v>
      </c>
      <c r="E309" s="112" t="s">
        <v>256</v>
      </c>
      <c r="F309" s="111" t="s">
        <v>764</v>
      </c>
      <c r="G309" s="112" t="s">
        <v>93</v>
      </c>
      <c r="H309" s="78">
        <f>'Пр. 11'!I1011</f>
        <v>1120</v>
      </c>
      <c r="I309" s="78">
        <f>'Пр. 11'!J1011</f>
        <v>1120</v>
      </c>
      <c r="J309" s="113">
        <f t="shared" si="19"/>
        <v>0</v>
      </c>
      <c r="K309" s="78">
        <f>'Пр. 11'!L1011</f>
        <v>0</v>
      </c>
      <c r="L309" s="78">
        <f>'Пр. 11'!M1011</f>
        <v>0</v>
      </c>
    </row>
    <row r="310" spans="1:12" ht="32.25" customHeight="1">
      <c r="A310" s="121" t="s">
        <v>1135</v>
      </c>
      <c r="B310" s="112" t="s">
        <v>232</v>
      </c>
      <c r="C310" s="112" t="s">
        <v>137</v>
      </c>
      <c r="D310" s="112" t="s">
        <v>166</v>
      </c>
      <c r="E310" s="112" t="s">
        <v>1134</v>
      </c>
      <c r="F310" s="111"/>
      <c r="G310" s="112"/>
      <c r="H310" s="78">
        <f>H311</f>
        <v>860</v>
      </c>
      <c r="I310" s="78">
        <f>I311</f>
        <v>860</v>
      </c>
      <c r="J310" s="113">
        <f t="shared" si="19"/>
        <v>0</v>
      </c>
      <c r="K310" s="78">
        <f>K311</f>
        <v>0</v>
      </c>
      <c r="L310" s="78">
        <f>L311</f>
        <v>0</v>
      </c>
    </row>
    <row r="311" spans="1:12" ht="32.25" customHeight="1">
      <c r="A311" s="121" t="s">
        <v>763</v>
      </c>
      <c r="B311" s="112" t="s">
        <v>232</v>
      </c>
      <c r="C311" s="112" t="s">
        <v>137</v>
      </c>
      <c r="D311" s="112" t="s">
        <v>166</v>
      </c>
      <c r="E311" s="112" t="s">
        <v>1134</v>
      </c>
      <c r="F311" s="111" t="s">
        <v>764</v>
      </c>
      <c r="G311" s="112"/>
      <c r="H311" s="78">
        <f>H312</f>
        <v>860</v>
      </c>
      <c r="I311" s="78">
        <f>I312</f>
        <v>860</v>
      </c>
      <c r="J311" s="113">
        <f t="shared" si="19"/>
        <v>0</v>
      </c>
      <c r="K311" s="78">
        <f>K312</f>
        <v>0</v>
      </c>
      <c r="L311" s="78">
        <f>L312</f>
        <v>0</v>
      </c>
    </row>
    <row r="312" spans="1:12" ht="17.25" customHeight="1">
      <c r="A312" s="114" t="s">
        <v>92</v>
      </c>
      <c r="B312" s="112" t="s">
        <v>232</v>
      </c>
      <c r="C312" s="112" t="s">
        <v>137</v>
      </c>
      <c r="D312" s="112" t="s">
        <v>166</v>
      </c>
      <c r="E312" s="112" t="s">
        <v>1134</v>
      </c>
      <c r="F312" s="111" t="s">
        <v>764</v>
      </c>
      <c r="G312" s="112" t="s">
        <v>93</v>
      </c>
      <c r="H312" s="78">
        <f>'Пр. 11'!I1013</f>
        <v>860</v>
      </c>
      <c r="I312" s="78">
        <f>'Пр. 11'!J1013</f>
        <v>860</v>
      </c>
      <c r="J312" s="113">
        <f t="shared" si="19"/>
        <v>0</v>
      </c>
      <c r="K312" s="78"/>
      <c r="L312" s="78"/>
    </row>
    <row r="313" spans="1:12" s="9" customFormat="1" ht="30.75" customHeight="1">
      <c r="A313" s="128" t="s">
        <v>262</v>
      </c>
      <c r="B313" s="107" t="s">
        <v>232</v>
      </c>
      <c r="C313" s="105">
        <v>2</v>
      </c>
      <c r="D313" s="107" t="s">
        <v>180</v>
      </c>
      <c r="E313" s="107" t="s">
        <v>156</v>
      </c>
      <c r="F313" s="71"/>
      <c r="G313" s="107"/>
      <c r="H313" s="37">
        <f>H314+H318+H321+H324+H327+H330+H333+H336+H342+H339</f>
        <v>109051.6</v>
      </c>
      <c r="I313" s="37">
        <f>I314+I318+I321+I324+I327+I330+I333+I336+I342+I339</f>
        <v>113557.4</v>
      </c>
      <c r="J313" s="108">
        <f t="shared" si="19"/>
        <v>4505.799999999988</v>
      </c>
      <c r="K313" s="37">
        <f>K314+K318+K321+K324+K327+K330+K333+K336+K342+K339</f>
        <v>326285.1</v>
      </c>
      <c r="L313" s="37">
        <f>L314+L318+L321+L324+L327+L330+L333+L336+L342+L339</f>
        <v>587994.2</v>
      </c>
    </row>
    <row r="314" spans="1:12" ht="33" customHeight="1">
      <c r="A314" s="22" t="s">
        <v>257</v>
      </c>
      <c r="B314" s="112" t="s">
        <v>232</v>
      </c>
      <c r="C314" s="129">
        <v>2</v>
      </c>
      <c r="D314" s="112" t="s">
        <v>180</v>
      </c>
      <c r="E314" s="112" t="s">
        <v>1012</v>
      </c>
      <c r="F314" s="111"/>
      <c r="G314" s="112"/>
      <c r="H314" s="78">
        <f>H315</f>
        <v>29040.2</v>
      </c>
      <c r="I314" s="78">
        <f>I315</f>
        <v>29040.2</v>
      </c>
      <c r="J314" s="113">
        <f t="shared" si="19"/>
        <v>0</v>
      </c>
      <c r="K314" s="78">
        <f>K315</f>
        <v>22914.2</v>
      </c>
      <c r="L314" s="78">
        <f>L315</f>
        <v>20934.2</v>
      </c>
    </row>
    <row r="315" spans="1:12" ht="31.5" customHeight="1">
      <c r="A315" s="22" t="s">
        <v>763</v>
      </c>
      <c r="B315" s="112" t="s">
        <v>232</v>
      </c>
      <c r="C315" s="129">
        <v>2</v>
      </c>
      <c r="D315" s="112" t="s">
        <v>180</v>
      </c>
      <c r="E315" s="112" t="s">
        <v>1012</v>
      </c>
      <c r="F315" s="111" t="s">
        <v>764</v>
      </c>
      <c r="G315" s="112"/>
      <c r="H315" s="78">
        <f>H316+H317</f>
        <v>29040.2</v>
      </c>
      <c r="I315" s="78">
        <f>I316+I317</f>
        <v>29040.2</v>
      </c>
      <c r="J315" s="113">
        <f t="shared" si="19"/>
        <v>0</v>
      </c>
      <c r="K315" s="78">
        <f>K316+K317</f>
        <v>22914.2</v>
      </c>
      <c r="L315" s="78">
        <f>L316+L317</f>
        <v>20934.2</v>
      </c>
    </row>
    <row r="316" spans="1:12" ht="18.75" customHeight="1">
      <c r="A316" s="114" t="s">
        <v>92</v>
      </c>
      <c r="B316" s="112" t="s">
        <v>232</v>
      </c>
      <c r="C316" s="129">
        <v>2</v>
      </c>
      <c r="D316" s="112" t="s">
        <v>180</v>
      </c>
      <c r="E316" s="112" t="s">
        <v>1012</v>
      </c>
      <c r="F316" s="111" t="s">
        <v>764</v>
      </c>
      <c r="G316" s="112" t="s">
        <v>93</v>
      </c>
      <c r="H316" s="78">
        <f>'Пр. 11'!I1016</f>
        <v>29040.2</v>
      </c>
      <c r="I316" s="78">
        <f>'Пр. 11'!J1016</f>
        <v>29040.2</v>
      </c>
      <c r="J316" s="113">
        <f t="shared" si="19"/>
        <v>0</v>
      </c>
      <c r="K316" s="78">
        <f>'Пр. 11'!L1016</f>
        <v>22914.2</v>
      </c>
      <c r="L316" s="78">
        <f>'Пр. 11'!M1016</f>
        <v>20934.2</v>
      </c>
    </row>
    <row r="317" spans="1:12" ht="19.5" customHeight="1" hidden="1">
      <c r="A317" s="22" t="s">
        <v>100</v>
      </c>
      <c r="B317" s="112" t="s">
        <v>232</v>
      </c>
      <c r="C317" s="129">
        <v>2</v>
      </c>
      <c r="D317" s="112" t="s">
        <v>180</v>
      </c>
      <c r="E317" s="112" t="s">
        <v>1012</v>
      </c>
      <c r="F317" s="111" t="s">
        <v>764</v>
      </c>
      <c r="G317" s="112" t="s">
        <v>101</v>
      </c>
      <c r="H317" s="78">
        <f>'Пр. 11'!I1102</f>
        <v>0</v>
      </c>
      <c r="I317" s="78">
        <f>'Пр. 11'!J1102</f>
        <v>0</v>
      </c>
      <c r="J317" s="113">
        <f t="shared" si="19"/>
        <v>0</v>
      </c>
      <c r="K317" s="78">
        <f>'Пр. 11'!L1102</f>
        <v>0</v>
      </c>
      <c r="L317" s="78">
        <f>'Пр. 11'!M1102</f>
        <v>0</v>
      </c>
    </row>
    <row r="318" spans="1:12" ht="35.25" customHeight="1" hidden="1">
      <c r="A318" s="121" t="s">
        <v>845</v>
      </c>
      <c r="B318" s="112" t="s">
        <v>232</v>
      </c>
      <c r="C318" s="112" t="s">
        <v>137</v>
      </c>
      <c r="D318" s="112" t="s">
        <v>180</v>
      </c>
      <c r="E318" s="112" t="s">
        <v>846</v>
      </c>
      <c r="F318" s="111"/>
      <c r="G318" s="112"/>
      <c r="H318" s="78">
        <f>H319</f>
        <v>0</v>
      </c>
      <c r="I318" s="78">
        <f>I319</f>
        <v>0</v>
      </c>
      <c r="J318" s="113">
        <f t="shared" si="19"/>
        <v>0</v>
      </c>
      <c r="K318" s="78">
        <f>K319</f>
        <v>0</v>
      </c>
      <c r="L318" s="78">
        <f>L319</f>
        <v>0</v>
      </c>
    </row>
    <row r="319" spans="1:12" ht="33" customHeight="1" hidden="1">
      <c r="A319" s="121" t="s">
        <v>763</v>
      </c>
      <c r="B319" s="112" t="s">
        <v>232</v>
      </c>
      <c r="C319" s="112" t="s">
        <v>137</v>
      </c>
      <c r="D319" s="112" t="s">
        <v>180</v>
      </c>
      <c r="E319" s="112" t="s">
        <v>846</v>
      </c>
      <c r="F319" s="111" t="s">
        <v>764</v>
      </c>
      <c r="G319" s="112"/>
      <c r="H319" s="78">
        <f>H320</f>
        <v>0</v>
      </c>
      <c r="I319" s="78">
        <f>I320</f>
        <v>0</v>
      </c>
      <c r="J319" s="113">
        <f t="shared" si="19"/>
        <v>0</v>
      </c>
      <c r="K319" s="78">
        <f>K320</f>
        <v>0</v>
      </c>
      <c r="L319" s="78">
        <f>L320</f>
        <v>0</v>
      </c>
    </row>
    <row r="320" spans="1:12" ht="19.5" customHeight="1" hidden="1">
      <c r="A320" s="114" t="s">
        <v>92</v>
      </c>
      <c r="B320" s="112" t="s">
        <v>232</v>
      </c>
      <c r="C320" s="112" t="s">
        <v>137</v>
      </c>
      <c r="D320" s="112" t="s">
        <v>180</v>
      </c>
      <c r="E320" s="112" t="s">
        <v>846</v>
      </c>
      <c r="F320" s="111" t="s">
        <v>764</v>
      </c>
      <c r="G320" s="112" t="s">
        <v>93</v>
      </c>
      <c r="H320" s="78">
        <f>'Пр. 11'!I1018</f>
        <v>0</v>
      </c>
      <c r="I320" s="78">
        <f>'Пр. 11'!J1018</f>
        <v>0</v>
      </c>
      <c r="J320" s="113">
        <f t="shared" si="19"/>
        <v>0</v>
      </c>
      <c r="K320" s="78">
        <f>'Пр. 11'!L1018</f>
        <v>0</v>
      </c>
      <c r="L320" s="78">
        <f>'Пр. 11'!M1018</f>
        <v>0</v>
      </c>
    </row>
    <row r="321" spans="1:12" ht="18.75" customHeight="1">
      <c r="A321" s="114" t="s">
        <v>208</v>
      </c>
      <c r="B321" s="112" t="s">
        <v>232</v>
      </c>
      <c r="C321" s="129">
        <v>2</v>
      </c>
      <c r="D321" s="112" t="s">
        <v>180</v>
      </c>
      <c r="E321" s="112" t="s">
        <v>209</v>
      </c>
      <c r="F321" s="111"/>
      <c r="G321" s="112"/>
      <c r="H321" s="78">
        <f>H322</f>
        <v>4140.6</v>
      </c>
      <c r="I321" s="78">
        <f>I322</f>
        <v>6896.400000000001</v>
      </c>
      <c r="J321" s="113">
        <f t="shared" si="19"/>
        <v>2755.8</v>
      </c>
      <c r="K321" s="78">
        <f>K322</f>
        <v>0</v>
      </c>
      <c r="L321" s="78">
        <f>L322</f>
        <v>0</v>
      </c>
    </row>
    <row r="322" spans="1:12" ht="36" customHeight="1">
      <c r="A322" s="22" t="s">
        <v>763</v>
      </c>
      <c r="B322" s="112" t="s">
        <v>232</v>
      </c>
      <c r="C322" s="129">
        <v>2</v>
      </c>
      <c r="D322" s="112" t="s">
        <v>180</v>
      </c>
      <c r="E322" s="112" t="s">
        <v>209</v>
      </c>
      <c r="F322" s="111" t="s">
        <v>764</v>
      </c>
      <c r="G322" s="112"/>
      <c r="H322" s="78">
        <f>H323</f>
        <v>4140.6</v>
      </c>
      <c r="I322" s="78">
        <f>I323</f>
        <v>6896.400000000001</v>
      </c>
      <c r="J322" s="113">
        <f t="shared" si="19"/>
        <v>2755.8</v>
      </c>
      <c r="K322" s="78">
        <f>K323</f>
        <v>0</v>
      </c>
      <c r="L322" s="78">
        <f>L323</f>
        <v>0</v>
      </c>
    </row>
    <row r="323" spans="1:12" ht="17.25" customHeight="1">
      <c r="A323" s="114" t="s">
        <v>92</v>
      </c>
      <c r="B323" s="112" t="s">
        <v>232</v>
      </c>
      <c r="C323" s="129">
        <v>2</v>
      </c>
      <c r="D323" s="112" t="s">
        <v>180</v>
      </c>
      <c r="E323" s="112" t="s">
        <v>209</v>
      </c>
      <c r="F323" s="111" t="s">
        <v>764</v>
      </c>
      <c r="G323" s="112" t="s">
        <v>93</v>
      </c>
      <c r="H323" s="78">
        <f>'Пр. 11'!I1020</f>
        <v>4140.6</v>
      </c>
      <c r="I323" s="78">
        <f>'Пр. 11'!J1020</f>
        <v>6896.400000000001</v>
      </c>
      <c r="J323" s="113">
        <f t="shared" si="19"/>
        <v>2755.8</v>
      </c>
      <c r="K323" s="78">
        <f>'Пр. 11'!L1020</f>
        <v>0</v>
      </c>
      <c r="L323" s="78">
        <f>'Пр. 11'!M1020</f>
        <v>0</v>
      </c>
    </row>
    <row r="324" spans="1:12" ht="39" customHeight="1">
      <c r="A324" s="134" t="s">
        <v>263</v>
      </c>
      <c r="B324" s="112" t="s">
        <v>232</v>
      </c>
      <c r="C324" s="129">
        <v>2</v>
      </c>
      <c r="D324" s="112" t="s">
        <v>180</v>
      </c>
      <c r="E324" s="112" t="s">
        <v>264</v>
      </c>
      <c r="F324" s="111"/>
      <c r="G324" s="112"/>
      <c r="H324" s="78">
        <f>H325</f>
        <v>3897.2</v>
      </c>
      <c r="I324" s="78">
        <f>I325</f>
        <v>3897.2</v>
      </c>
      <c r="J324" s="113">
        <f t="shared" si="19"/>
        <v>0</v>
      </c>
      <c r="K324" s="78">
        <f>K325</f>
        <v>1110.9</v>
      </c>
      <c r="L324" s="78">
        <f>L325</f>
        <v>1200</v>
      </c>
    </row>
    <row r="325" spans="1:12" ht="31.5" customHeight="1">
      <c r="A325" s="22" t="s">
        <v>763</v>
      </c>
      <c r="B325" s="112" t="s">
        <v>232</v>
      </c>
      <c r="C325" s="129">
        <v>2</v>
      </c>
      <c r="D325" s="112" t="s">
        <v>180</v>
      </c>
      <c r="E325" s="112" t="s">
        <v>264</v>
      </c>
      <c r="F325" s="111" t="s">
        <v>764</v>
      </c>
      <c r="G325" s="112"/>
      <c r="H325" s="78">
        <f>H326</f>
        <v>3897.2</v>
      </c>
      <c r="I325" s="78">
        <f>I326</f>
        <v>3897.2</v>
      </c>
      <c r="J325" s="113">
        <f t="shared" si="19"/>
        <v>0</v>
      </c>
      <c r="K325" s="78">
        <f>K326</f>
        <v>1110.9</v>
      </c>
      <c r="L325" s="78">
        <f>L326</f>
        <v>1200</v>
      </c>
    </row>
    <row r="326" spans="1:12" ht="17.25" customHeight="1">
      <c r="A326" s="114" t="s">
        <v>92</v>
      </c>
      <c r="B326" s="112" t="s">
        <v>232</v>
      </c>
      <c r="C326" s="129">
        <v>2</v>
      </c>
      <c r="D326" s="112" t="s">
        <v>180</v>
      </c>
      <c r="E326" s="112" t="s">
        <v>264</v>
      </c>
      <c r="F326" s="111" t="s">
        <v>764</v>
      </c>
      <c r="G326" s="112" t="s">
        <v>93</v>
      </c>
      <c r="H326" s="78">
        <f>'Пр. 11'!I1022</f>
        <v>3897.2</v>
      </c>
      <c r="I326" s="78">
        <f>'Пр. 11'!J1022</f>
        <v>3897.2</v>
      </c>
      <c r="J326" s="113">
        <f t="shared" si="19"/>
        <v>0</v>
      </c>
      <c r="K326" s="78">
        <f>'Пр. 11'!L1022</f>
        <v>1110.9</v>
      </c>
      <c r="L326" s="78">
        <f>'Пр. 11'!M1022</f>
        <v>1200</v>
      </c>
    </row>
    <row r="327" spans="1:12" ht="19.5" customHeight="1">
      <c r="A327" s="114" t="s">
        <v>1092</v>
      </c>
      <c r="B327" s="112" t="s">
        <v>232</v>
      </c>
      <c r="C327" s="129">
        <v>2</v>
      </c>
      <c r="D327" s="112" t="s">
        <v>180</v>
      </c>
      <c r="E327" s="112" t="s">
        <v>247</v>
      </c>
      <c r="F327" s="111"/>
      <c r="G327" s="112"/>
      <c r="H327" s="78">
        <f>H328</f>
        <v>2861.6</v>
      </c>
      <c r="I327" s="78">
        <f>I328</f>
        <v>4611.6</v>
      </c>
      <c r="J327" s="113">
        <f t="shared" si="19"/>
        <v>1750.0000000000005</v>
      </c>
      <c r="K327" s="78">
        <f>K328</f>
        <v>1000</v>
      </c>
      <c r="L327" s="78">
        <f>L328</f>
        <v>2000</v>
      </c>
    </row>
    <row r="328" spans="1:12" ht="40.5" customHeight="1">
      <c r="A328" s="22" t="s">
        <v>763</v>
      </c>
      <c r="B328" s="112" t="s">
        <v>232</v>
      </c>
      <c r="C328" s="129">
        <v>2</v>
      </c>
      <c r="D328" s="112" t="s">
        <v>180</v>
      </c>
      <c r="E328" s="112" t="s">
        <v>247</v>
      </c>
      <c r="F328" s="111" t="s">
        <v>764</v>
      </c>
      <c r="G328" s="112"/>
      <c r="H328" s="78">
        <f>H329</f>
        <v>2861.6</v>
      </c>
      <c r="I328" s="78">
        <f>I329</f>
        <v>4611.6</v>
      </c>
      <c r="J328" s="113">
        <f t="shared" si="19"/>
        <v>1750.0000000000005</v>
      </c>
      <c r="K328" s="78">
        <f>K329</f>
        <v>1000</v>
      </c>
      <c r="L328" s="78">
        <f>L329</f>
        <v>2000</v>
      </c>
    </row>
    <row r="329" spans="1:12" ht="21.75" customHeight="1">
      <c r="A329" s="114" t="s">
        <v>92</v>
      </c>
      <c r="B329" s="112" t="s">
        <v>232</v>
      </c>
      <c r="C329" s="129">
        <v>2</v>
      </c>
      <c r="D329" s="112" t="s">
        <v>180</v>
      </c>
      <c r="E329" s="112" t="s">
        <v>247</v>
      </c>
      <c r="F329" s="111" t="s">
        <v>764</v>
      </c>
      <c r="G329" s="112" t="s">
        <v>93</v>
      </c>
      <c r="H329" s="78">
        <f>'Пр. 11'!I1024</f>
        <v>2861.6</v>
      </c>
      <c r="I329" s="78">
        <f>'Пр. 11'!J1024</f>
        <v>4611.6</v>
      </c>
      <c r="J329" s="113">
        <f t="shared" si="19"/>
        <v>1750.0000000000005</v>
      </c>
      <c r="K329" s="78">
        <f>'Пр. 11'!L1024</f>
        <v>1000</v>
      </c>
      <c r="L329" s="78">
        <f>'Пр. 11'!M1024</f>
        <v>2000</v>
      </c>
    </row>
    <row r="330" spans="1:12" ht="51.75" customHeight="1" hidden="1">
      <c r="A330" s="121" t="s">
        <v>265</v>
      </c>
      <c r="B330" s="112" t="s">
        <v>232</v>
      </c>
      <c r="C330" s="112" t="s">
        <v>137</v>
      </c>
      <c r="D330" s="112" t="s">
        <v>180</v>
      </c>
      <c r="E330" s="112" t="s">
        <v>773</v>
      </c>
      <c r="F330" s="111"/>
      <c r="G330" s="112"/>
      <c r="H330" s="78">
        <f>H331</f>
        <v>0</v>
      </c>
      <c r="I330" s="78">
        <f>I331</f>
        <v>0</v>
      </c>
      <c r="J330" s="113">
        <f t="shared" si="19"/>
        <v>0</v>
      </c>
      <c r="K330" s="78">
        <f>K331</f>
        <v>0</v>
      </c>
      <c r="L330" s="78">
        <f>L331</f>
        <v>0</v>
      </c>
    </row>
    <row r="331" spans="1:12" ht="30" customHeight="1" hidden="1">
      <c r="A331" s="121" t="s">
        <v>763</v>
      </c>
      <c r="B331" s="112" t="s">
        <v>232</v>
      </c>
      <c r="C331" s="112" t="s">
        <v>137</v>
      </c>
      <c r="D331" s="112" t="s">
        <v>180</v>
      </c>
      <c r="E331" s="112" t="s">
        <v>773</v>
      </c>
      <c r="F331" s="111" t="s">
        <v>764</v>
      </c>
      <c r="G331" s="112"/>
      <c r="H331" s="78">
        <f>H332</f>
        <v>0</v>
      </c>
      <c r="I331" s="78">
        <f>I332</f>
        <v>0</v>
      </c>
      <c r="J331" s="113">
        <f t="shared" si="19"/>
        <v>0</v>
      </c>
      <c r="K331" s="78">
        <f>K332</f>
        <v>0</v>
      </c>
      <c r="L331" s="78">
        <f>L332</f>
        <v>0</v>
      </c>
    </row>
    <row r="332" spans="1:12" ht="23.25" customHeight="1" hidden="1">
      <c r="A332" s="114" t="s">
        <v>92</v>
      </c>
      <c r="B332" s="112" t="s">
        <v>232</v>
      </c>
      <c r="C332" s="112" t="s">
        <v>137</v>
      </c>
      <c r="D332" s="112" t="s">
        <v>180</v>
      </c>
      <c r="E332" s="112" t="s">
        <v>773</v>
      </c>
      <c r="F332" s="111" t="s">
        <v>764</v>
      </c>
      <c r="G332" s="112" t="s">
        <v>93</v>
      </c>
      <c r="H332" s="78">
        <f>'Пр. 11'!I1026</f>
        <v>0</v>
      </c>
      <c r="I332" s="78">
        <f>'Пр. 11'!J1026</f>
        <v>0</v>
      </c>
      <c r="J332" s="113">
        <f t="shared" si="19"/>
        <v>0</v>
      </c>
      <c r="K332" s="78">
        <f>'Пр. 11'!L1026</f>
        <v>0</v>
      </c>
      <c r="L332" s="78">
        <f>'Пр. 11'!M1026</f>
        <v>0</v>
      </c>
    </row>
    <row r="333" spans="1:12" ht="44.25" customHeight="1">
      <c r="A333" s="22" t="s">
        <v>210</v>
      </c>
      <c r="B333" s="112" t="s">
        <v>232</v>
      </c>
      <c r="C333" s="129">
        <v>2</v>
      </c>
      <c r="D333" s="112" t="s">
        <v>180</v>
      </c>
      <c r="E333" s="112" t="s">
        <v>211</v>
      </c>
      <c r="F333" s="111"/>
      <c r="G333" s="112"/>
      <c r="H333" s="78">
        <f>H334</f>
        <v>6279</v>
      </c>
      <c r="I333" s="78">
        <f>I334</f>
        <v>6279</v>
      </c>
      <c r="J333" s="113">
        <f t="shared" si="19"/>
        <v>0</v>
      </c>
      <c r="K333" s="78">
        <f>K334</f>
        <v>0</v>
      </c>
      <c r="L333" s="78">
        <f>L334</f>
        <v>0</v>
      </c>
    </row>
    <row r="334" spans="1:12" ht="36" customHeight="1">
      <c r="A334" s="22" t="s">
        <v>763</v>
      </c>
      <c r="B334" s="112" t="s">
        <v>232</v>
      </c>
      <c r="C334" s="129">
        <v>2</v>
      </c>
      <c r="D334" s="112" t="s">
        <v>180</v>
      </c>
      <c r="E334" s="112" t="s">
        <v>211</v>
      </c>
      <c r="F334" s="111" t="s">
        <v>764</v>
      </c>
      <c r="G334" s="112"/>
      <c r="H334" s="78">
        <f>H335</f>
        <v>6279</v>
      </c>
      <c r="I334" s="78">
        <f>I335</f>
        <v>6279</v>
      </c>
      <c r="J334" s="113">
        <f t="shared" si="19"/>
        <v>0</v>
      </c>
      <c r="K334" s="78">
        <f>K335</f>
        <v>0</v>
      </c>
      <c r="L334" s="78">
        <f>L335</f>
        <v>0</v>
      </c>
    </row>
    <row r="335" spans="1:12" ht="18" customHeight="1">
      <c r="A335" s="114" t="s">
        <v>92</v>
      </c>
      <c r="B335" s="112" t="s">
        <v>232</v>
      </c>
      <c r="C335" s="129">
        <v>2</v>
      </c>
      <c r="D335" s="112" t="s">
        <v>180</v>
      </c>
      <c r="E335" s="112" t="s">
        <v>211</v>
      </c>
      <c r="F335" s="111" t="s">
        <v>764</v>
      </c>
      <c r="G335" s="112" t="s">
        <v>93</v>
      </c>
      <c r="H335" s="78">
        <f>'Пр. 11'!I1028</f>
        <v>6279</v>
      </c>
      <c r="I335" s="78">
        <f>'Пр. 11'!J1028</f>
        <v>6279</v>
      </c>
      <c r="J335" s="113">
        <f t="shared" si="19"/>
        <v>0</v>
      </c>
      <c r="K335" s="78">
        <f>'Пр. 11'!L1028</f>
        <v>0</v>
      </c>
      <c r="L335" s="78">
        <f>'Пр. 11'!M1028</f>
        <v>0</v>
      </c>
    </row>
    <row r="336" spans="1:12" ht="21" customHeight="1">
      <c r="A336" s="22" t="s">
        <v>266</v>
      </c>
      <c r="B336" s="112" t="s">
        <v>232</v>
      </c>
      <c r="C336" s="129">
        <v>2</v>
      </c>
      <c r="D336" s="112" t="s">
        <v>180</v>
      </c>
      <c r="E336" s="112" t="s">
        <v>267</v>
      </c>
      <c r="F336" s="111"/>
      <c r="G336" s="112"/>
      <c r="H336" s="78">
        <f>H337</f>
        <v>5857</v>
      </c>
      <c r="I336" s="78">
        <f>I337</f>
        <v>5857</v>
      </c>
      <c r="J336" s="113">
        <f t="shared" si="19"/>
        <v>0</v>
      </c>
      <c r="K336" s="78">
        <f>K337</f>
        <v>0</v>
      </c>
      <c r="L336" s="78">
        <f>L337</f>
        <v>0</v>
      </c>
    </row>
    <row r="337" spans="1:12" ht="36" customHeight="1">
      <c r="A337" s="22" t="s">
        <v>763</v>
      </c>
      <c r="B337" s="112" t="s">
        <v>232</v>
      </c>
      <c r="C337" s="129">
        <v>2</v>
      </c>
      <c r="D337" s="112" t="s">
        <v>180</v>
      </c>
      <c r="E337" s="112" t="s">
        <v>267</v>
      </c>
      <c r="F337" s="111" t="s">
        <v>764</v>
      </c>
      <c r="G337" s="112"/>
      <c r="H337" s="78">
        <f>H338</f>
        <v>5857</v>
      </c>
      <c r="I337" s="78">
        <f>I338</f>
        <v>5857</v>
      </c>
      <c r="J337" s="113">
        <f t="shared" si="19"/>
        <v>0</v>
      </c>
      <c r="K337" s="78">
        <f>K338</f>
        <v>0</v>
      </c>
      <c r="L337" s="78">
        <f>L338</f>
        <v>0</v>
      </c>
    </row>
    <row r="338" spans="1:12" ht="20.25" customHeight="1">
      <c r="A338" s="114" t="s">
        <v>92</v>
      </c>
      <c r="B338" s="112" t="s">
        <v>232</v>
      </c>
      <c r="C338" s="129">
        <v>2</v>
      </c>
      <c r="D338" s="112" t="s">
        <v>180</v>
      </c>
      <c r="E338" s="112" t="s">
        <v>267</v>
      </c>
      <c r="F338" s="111" t="s">
        <v>764</v>
      </c>
      <c r="G338" s="112" t="s">
        <v>93</v>
      </c>
      <c r="H338" s="78">
        <f>'Пр. 11'!I1030</f>
        <v>5857</v>
      </c>
      <c r="I338" s="78">
        <f>'Пр. 11'!J1030</f>
        <v>5857</v>
      </c>
      <c r="J338" s="113">
        <f t="shared" si="19"/>
        <v>0</v>
      </c>
      <c r="K338" s="78">
        <f>'Пр. 11'!L1030</f>
        <v>0</v>
      </c>
      <c r="L338" s="78">
        <f>'Пр. 11'!M1030</f>
        <v>0</v>
      </c>
    </row>
    <row r="339" spans="1:12" ht="36.75" customHeight="1">
      <c r="A339" s="121" t="s">
        <v>1087</v>
      </c>
      <c r="B339" s="112" t="s">
        <v>232</v>
      </c>
      <c r="C339" s="112" t="s">
        <v>137</v>
      </c>
      <c r="D339" s="112" t="s">
        <v>180</v>
      </c>
      <c r="E339" s="112" t="s">
        <v>1088</v>
      </c>
      <c r="F339" s="111"/>
      <c r="G339" s="112"/>
      <c r="H339" s="78">
        <f>H340</f>
        <v>56976</v>
      </c>
      <c r="I339" s="78">
        <f>I340</f>
        <v>56976</v>
      </c>
      <c r="J339" s="113">
        <f t="shared" si="19"/>
        <v>0</v>
      </c>
      <c r="K339" s="78">
        <f>K340</f>
        <v>301260</v>
      </c>
      <c r="L339" s="78">
        <f>L340</f>
        <v>563860</v>
      </c>
    </row>
    <row r="340" spans="1:12" ht="35.25" customHeight="1">
      <c r="A340" s="121" t="s">
        <v>771</v>
      </c>
      <c r="B340" s="112" t="s">
        <v>232</v>
      </c>
      <c r="C340" s="112" t="s">
        <v>137</v>
      </c>
      <c r="D340" s="112" t="s">
        <v>180</v>
      </c>
      <c r="E340" s="112" t="s">
        <v>1088</v>
      </c>
      <c r="F340" s="111" t="s">
        <v>768</v>
      </c>
      <c r="G340" s="112"/>
      <c r="H340" s="78">
        <f>H341</f>
        <v>56976</v>
      </c>
      <c r="I340" s="78">
        <f>I341</f>
        <v>56976</v>
      </c>
      <c r="J340" s="113">
        <f t="shared" si="19"/>
        <v>0</v>
      </c>
      <c r="K340" s="78">
        <f>K341</f>
        <v>301260</v>
      </c>
      <c r="L340" s="78">
        <f>L341</f>
        <v>563860</v>
      </c>
    </row>
    <row r="341" spans="1:12" ht="20.25" customHeight="1">
      <c r="A341" s="114" t="s">
        <v>92</v>
      </c>
      <c r="B341" s="112" t="s">
        <v>232</v>
      </c>
      <c r="C341" s="112" t="s">
        <v>137</v>
      </c>
      <c r="D341" s="112" t="s">
        <v>180</v>
      </c>
      <c r="E341" s="112" t="s">
        <v>1088</v>
      </c>
      <c r="F341" s="111" t="s">
        <v>768</v>
      </c>
      <c r="G341" s="112" t="s">
        <v>93</v>
      </c>
      <c r="H341" s="78">
        <f>'Пр. 11'!I1032</f>
        <v>56976</v>
      </c>
      <c r="I341" s="78">
        <f>'Пр. 11'!J1032</f>
        <v>56976</v>
      </c>
      <c r="J341" s="113">
        <f t="shared" si="19"/>
        <v>0</v>
      </c>
      <c r="K341" s="78">
        <f>'Пр. 11'!L1032</f>
        <v>301260</v>
      </c>
      <c r="L341" s="78">
        <f>'Пр. 11'!M1032</f>
        <v>563860</v>
      </c>
    </row>
    <row r="342" spans="1:12" ht="33" customHeight="1" hidden="1">
      <c r="A342" s="121" t="s">
        <v>1087</v>
      </c>
      <c r="B342" s="112" t="s">
        <v>232</v>
      </c>
      <c r="C342" s="112" t="s">
        <v>137</v>
      </c>
      <c r="D342" s="112" t="s">
        <v>180</v>
      </c>
      <c r="E342" s="112" t="s">
        <v>1088</v>
      </c>
      <c r="F342" s="111"/>
      <c r="G342" s="112"/>
      <c r="H342" s="78">
        <f>H343</f>
        <v>0</v>
      </c>
      <c r="I342" s="78">
        <f>I343</f>
        <v>0</v>
      </c>
      <c r="J342" s="113">
        <f t="shared" si="19"/>
        <v>0</v>
      </c>
      <c r="K342" s="78">
        <f>K343</f>
        <v>0</v>
      </c>
      <c r="L342" s="78">
        <f>L343</f>
        <v>0</v>
      </c>
    </row>
    <row r="343" spans="1:12" ht="37.5" customHeight="1" hidden="1">
      <c r="A343" s="121" t="s">
        <v>763</v>
      </c>
      <c r="B343" s="112" t="s">
        <v>232</v>
      </c>
      <c r="C343" s="112" t="s">
        <v>137</v>
      </c>
      <c r="D343" s="112" t="s">
        <v>180</v>
      </c>
      <c r="E343" s="112" t="s">
        <v>1088</v>
      </c>
      <c r="F343" s="111" t="s">
        <v>764</v>
      </c>
      <c r="G343" s="112"/>
      <c r="H343" s="78">
        <f>H344</f>
        <v>0</v>
      </c>
      <c r="I343" s="78">
        <f>I344</f>
        <v>0</v>
      </c>
      <c r="J343" s="113">
        <f t="shared" si="19"/>
        <v>0</v>
      </c>
      <c r="K343" s="78">
        <f>K344</f>
        <v>0</v>
      </c>
      <c r="L343" s="78">
        <f>L344</f>
        <v>0</v>
      </c>
    </row>
    <row r="344" spans="1:12" ht="20.25" customHeight="1" hidden="1">
      <c r="A344" s="114" t="s">
        <v>92</v>
      </c>
      <c r="B344" s="112" t="s">
        <v>232</v>
      </c>
      <c r="C344" s="112" t="s">
        <v>137</v>
      </c>
      <c r="D344" s="112" t="s">
        <v>180</v>
      </c>
      <c r="E344" s="112" t="s">
        <v>1088</v>
      </c>
      <c r="F344" s="111" t="s">
        <v>764</v>
      </c>
      <c r="G344" s="112" t="s">
        <v>93</v>
      </c>
      <c r="H344" s="78">
        <f>'Пр. 11'!I1034</f>
        <v>0</v>
      </c>
      <c r="I344" s="78">
        <f>'Пр. 11'!J1034</f>
        <v>0</v>
      </c>
      <c r="J344" s="113">
        <f t="shared" si="19"/>
        <v>0</v>
      </c>
      <c r="K344" s="78">
        <f>'Пр. 11'!L1034</f>
        <v>0</v>
      </c>
      <c r="L344" s="78">
        <f>'Пр. 11'!M1034</f>
        <v>0</v>
      </c>
    </row>
    <row r="345" spans="1:12" ht="20.25" customHeight="1">
      <c r="A345" s="377" t="s">
        <v>1144</v>
      </c>
      <c r="B345" s="378" t="s">
        <v>232</v>
      </c>
      <c r="C345" s="378" t="s">
        <v>137</v>
      </c>
      <c r="D345" s="378" t="s">
        <v>1145</v>
      </c>
      <c r="E345" s="378" t="s">
        <v>156</v>
      </c>
      <c r="F345" s="379"/>
      <c r="G345" s="112"/>
      <c r="H345" s="37">
        <f aca="true" t="shared" si="20" ref="H345:I347">H346</f>
        <v>177.6</v>
      </c>
      <c r="I345" s="37">
        <f t="shared" si="20"/>
        <v>5022.1</v>
      </c>
      <c r="J345" s="108">
        <f t="shared" si="19"/>
        <v>4844.5</v>
      </c>
      <c r="K345" s="37">
        <f aca="true" t="shared" si="21" ref="K345:L347">K346</f>
        <v>0</v>
      </c>
      <c r="L345" s="37">
        <f t="shared" si="21"/>
        <v>0</v>
      </c>
    </row>
    <row r="346" spans="1:12" ht="48.75" customHeight="1">
      <c r="A346" s="376" t="s">
        <v>1147</v>
      </c>
      <c r="B346" s="112" t="s">
        <v>232</v>
      </c>
      <c r="C346" s="112" t="s">
        <v>137</v>
      </c>
      <c r="D346" s="112" t="s">
        <v>1145</v>
      </c>
      <c r="E346" s="112" t="s">
        <v>1146</v>
      </c>
      <c r="F346" s="111"/>
      <c r="G346" s="112"/>
      <c r="H346" s="78">
        <f t="shared" si="20"/>
        <v>177.6</v>
      </c>
      <c r="I346" s="78">
        <f t="shared" si="20"/>
        <v>5022.1</v>
      </c>
      <c r="J346" s="113">
        <f t="shared" si="19"/>
        <v>4844.5</v>
      </c>
      <c r="K346" s="78">
        <f t="shared" si="21"/>
        <v>0</v>
      </c>
      <c r="L346" s="78">
        <f t="shared" si="21"/>
        <v>0</v>
      </c>
    </row>
    <row r="347" spans="1:12" ht="34.5" customHeight="1">
      <c r="A347" s="376" t="s">
        <v>763</v>
      </c>
      <c r="B347" s="112" t="s">
        <v>232</v>
      </c>
      <c r="C347" s="112" t="s">
        <v>137</v>
      </c>
      <c r="D347" s="112" t="s">
        <v>1145</v>
      </c>
      <c r="E347" s="112" t="s">
        <v>1146</v>
      </c>
      <c r="F347" s="111" t="s">
        <v>764</v>
      </c>
      <c r="G347" s="112"/>
      <c r="H347" s="78">
        <f t="shared" si="20"/>
        <v>177.6</v>
      </c>
      <c r="I347" s="78">
        <f t="shared" si="20"/>
        <v>5022.1</v>
      </c>
      <c r="J347" s="113">
        <f t="shared" si="19"/>
        <v>4844.5</v>
      </c>
      <c r="K347" s="78">
        <f t="shared" si="21"/>
        <v>0</v>
      </c>
      <c r="L347" s="78">
        <f t="shared" si="21"/>
        <v>0</v>
      </c>
    </row>
    <row r="348" spans="1:12" ht="20.25" customHeight="1">
      <c r="A348" s="114" t="s">
        <v>92</v>
      </c>
      <c r="B348" s="112" t="s">
        <v>232</v>
      </c>
      <c r="C348" s="112" t="s">
        <v>137</v>
      </c>
      <c r="D348" s="112" t="s">
        <v>1145</v>
      </c>
      <c r="E348" s="112" t="s">
        <v>1146</v>
      </c>
      <c r="F348" s="111" t="s">
        <v>764</v>
      </c>
      <c r="G348" s="112" t="s">
        <v>93</v>
      </c>
      <c r="H348" s="78">
        <f>'Пр. 11'!I1037</f>
        <v>177.6</v>
      </c>
      <c r="I348" s="78">
        <f>'Пр. 11'!J1037</f>
        <v>5022.1</v>
      </c>
      <c r="J348" s="113">
        <f t="shared" si="19"/>
        <v>4844.5</v>
      </c>
      <c r="K348" s="78">
        <f>'Пр. 11'!L1037</f>
        <v>0</v>
      </c>
      <c r="L348" s="78">
        <f>'Пр. 11'!M1037</f>
        <v>0</v>
      </c>
    </row>
    <row r="349" spans="1:12" ht="19.5" customHeight="1">
      <c r="A349" s="139" t="s">
        <v>1137</v>
      </c>
      <c r="B349" s="107" t="s">
        <v>232</v>
      </c>
      <c r="C349" s="107" t="s">
        <v>137</v>
      </c>
      <c r="D349" s="107" t="s">
        <v>1138</v>
      </c>
      <c r="E349" s="107" t="s">
        <v>156</v>
      </c>
      <c r="F349" s="71"/>
      <c r="G349" s="107"/>
      <c r="H349" s="37">
        <f aca="true" t="shared" si="22" ref="H349:I351">H350</f>
        <v>2350.7999999999997</v>
      </c>
      <c r="I349" s="37">
        <f t="shared" si="22"/>
        <v>2350.7999999999997</v>
      </c>
      <c r="J349" s="113">
        <f t="shared" si="19"/>
        <v>0</v>
      </c>
      <c r="K349" s="37">
        <f aca="true" t="shared" si="23" ref="K349:L351">K350</f>
        <v>0</v>
      </c>
      <c r="L349" s="37">
        <f t="shared" si="23"/>
        <v>0</v>
      </c>
    </row>
    <row r="350" spans="1:12" ht="53.25" customHeight="1">
      <c r="A350" s="121" t="s">
        <v>1139</v>
      </c>
      <c r="B350" s="112" t="s">
        <v>232</v>
      </c>
      <c r="C350" s="112" t="s">
        <v>137</v>
      </c>
      <c r="D350" s="112" t="s">
        <v>1138</v>
      </c>
      <c r="E350" s="112" t="s">
        <v>1140</v>
      </c>
      <c r="F350" s="111"/>
      <c r="G350" s="112"/>
      <c r="H350" s="78">
        <f t="shared" si="22"/>
        <v>2350.7999999999997</v>
      </c>
      <c r="I350" s="78">
        <f t="shared" si="22"/>
        <v>2350.7999999999997</v>
      </c>
      <c r="J350" s="113">
        <f t="shared" si="19"/>
        <v>0</v>
      </c>
      <c r="K350" s="78">
        <f t="shared" si="23"/>
        <v>0</v>
      </c>
      <c r="L350" s="78">
        <f t="shared" si="23"/>
        <v>0</v>
      </c>
    </row>
    <row r="351" spans="1:12" ht="30" customHeight="1">
      <c r="A351" s="121" t="s">
        <v>763</v>
      </c>
      <c r="B351" s="112" t="s">
        <v>232</v>
      </c>
      <c r="C351" s="112" t="s">
        <v>137</v>
      </c>
      <c r="D351" s="112" t="s">
        <v>1138</v>
      </c>
      <c r="E351" s="112" t="s">
        <v>1140</v>
      </c>
      <c r="F351" s="111" t="s">
        <v>764</v>
      </c>
      <c r="G351" s="112"/>
      <c r="H351" s="78">
        <f t="shared" si="22"/>
        <v>2350.7999999999997</v>
      </c>
      <c r="I351" s="78">
        <f t="shared" si="22"/>
        <v>2350.7999999999997</v>
      </c>
      <c r="J351" s="113">
        <f t="shared" si="19"/>
        <v>0</v>
      </c>
      <c r="K351" s="78">
        <f t="shared" si="23"/>
        <v>0</v>
      </c>
      <c r="L351" s="78">
        <f t="shared" si="23"/>
        <v>0</v>
      </c>
    </row>
    <row r="352" spans="1:12" ht="20.25" customHeight="1">
      <c r="A352" s="114" t="s">
        <v>92</v>
      </c>
      <c r="B352" s="112" t="s">
        <v>232</v>
      </c>
      <c r="C352" s="112" t="s">
        <v>137</v>
      </c>
      <c r="D352" s="112" t="s">
        <v>1138</v>
      </c>
      <c r="E352" s="112" t="s">
        <v>1140</v>
      </c>
      <c r="F352" s="111" t="s">
        <v>764</v>
      </c>
      <c r="G352" s="112" t="s">
        <v>93</v>
      </c>
      <c r="H352" s="78">
        <f>'Пр. 11'!I1040</f>
        <v>2350.7999999999997</v>
      </c>
      <c r="I352" s="78">
        <f>'Пр. 11'!J1040</f>
        <v>2350.7999999999997</v>
      </c>
      <c r="J352" s="113">
        <f t="shared" si="19"/>
        <v>0</v>
      </c>
      <c r="K352" s="78"/>
      <c r="L352" s="78"/>
    </row>
    <row r="353" spans="1:12" s="9" customFormat="1" ht="33" customHeight="1">
      <c r="A353" s="109" t="s">
        <v>144</v>
      </c>
      <c r="B353" s="71" t="s">
        <v>232</v>
      </c>
      <c r="C353" s="71" t="s">
        <v>139</v>
      </c>
      <c r="D353" s="71" t="s">
        <v>155</v>
      </c>
      <c r="E353" s="71" t="s">
        <v>156</v>
      </c>
      <c r="F353" s="71"/>
      <c r="G353" s="107"/>
      <c r="H353" s="37">
        <f>H354+H367</f>
        <v>167033</v>
      </c>
      <c r="I353" s="37">
        <f>I354+I367</f>
        <v>168871.5</v>
      </c>
      <c r="J353" s="108">
        <f t="shared" si="19"/>
        <v>1838.5</v>
      </c>
      <c r="K353" s="37">
        <f>K354+K367</f>
        <v>160156.8</v>
      </c>
      <c r="L353" s="37">
        <f>L354+L367</f>
        <v>161370.8</v>
      </c>
    </row>
    <row r="354" spans="1:12" s="9" customFormat="1" ht="39" customHeight="1">
      <c r="A354" s="128" t="s">
        <v>268</v>
      </c>
      <c r="B354" s="107" t="s">
        <v>232</v>
      </c>
      <c r="C354" s="105">
        <v>3</v>
      </c>
      <c r="D354" s="107" t="s">
        <v>153</v>
      </c>
      <c r="E354" s="107" t="s">
        <v>156</v>
      </c>
      <c r="F354" s="71"/>
      <c r="G354" s="107"/>
      <c r="H354" s="37">
        <f>H355+H358+H361+H364</f>
        <v>157941</v>
      </c>
      <c r="I354" s="37">
        <f>I355+I358+I361+I364</f>
        <v>159201</v>
      </c>
      <c r="J354" s="108">
        <f t="shared" si="19"/>
        <v>1260</v>
      </c>
      <c r="K354" s="37">
        <f>K355+K358+K361+K364</f>
        <v>156258</v>
      </c>
      <c r="L354" s="37">
        <f>L355+L358+L361+L364</f>
        <v>157022</v>
      </c>
    </row>
    <row r="355" spans="1:12" ht="36" customHeight="1">
      <c r="A355" s="114" t="s">
        <v>200</v>
      </c>
      <c r="B355" s="112" t="s">
        <v>232</v>
      </c>
      <c r="C355" s="129">
        <v>3</v>
      </c>
      <c r="D355" s="112" t="s">
        <v>153</v>
      </c>
      <c r="E355" s="112" t="s">
        <v>201</v>
      </c>
      <c r="F355" s="111"/>
      <c r="G355" s="112"/>
      <c r="H355" s="78">
        <f aca="true" t="shared" si="24" ref="H355:L356">H356</f>
        <v>157391</v>
      </c>
      <c r="I355" s="78">
        <f t="shared" si="24"/>
        <v>140939</v>
      </c>
      <c r="J355" s="113">
        <f t="shared" si="19"/>
        <v>-16452</v>
      </c>
      <c r="K355" s="78">
        <f t="shared" si="24"/>
        <v>155630</v>
      </c>
      <c r="L355" s="78">
        <f t="shared" si="24"/>
        <v>156345</v>
      </c>
    </row>
    <row r="356" spans="1:12" ht="35.25" customHeight="1">
      <c r="A356" s="114" t="s">
        <v>763</v>
      </c>
      <c r="B356" s="112" t="s">
        <v>232</v>
      </c>
      <c r="C356" s="129">
        <v>3</v>
      </c>
      <c r="D356" s="112" t="s">
        <v>153</v>
      </c>
      <c r="E356" s="112" t="s">
        <v>201</v>
      </c>
      <c r="F356" s="111" t="s">
        <v>764</v>
      </c>
      <c r="G356" s="112"/>
      <c r="H356" s="78">
        <f t="shared" si="24"/>
        <v>157391</v>
      </c>
      <c r="I356" s="78">
        <f t="shared" si="24"/>
        <v>140939</v>
      </c>
      <c r="J356" s="113">
        <f t="shared" si="19"/>
        <v>-16452</v>
      </c>
      <c r="K356" s="78">
        <f t="shared" si="24"/>
        <v>155630</v>
      </c>
      <c r="L356" s="78">
        <f t="shared" si="24"/>
        <v>156345</v>
      </c>
    </row>
    <row r="357" spans="1:12" ht="21" customHeight="1">
      <c r="A357" s="22" t="s">
        <v>94</v>
      </c>
      <c r="B357" s="112" t="s">
        <v>232</v>
      </c>
      <c r="C357" s="129">
        <v>3</v>
      </c>
      <c r="D357" s="112" t="s">
        <v>153</v>
      </c>
      <c r="E357" s="112" t="s">
        <v>201</v>
      </c>
      <c r="F357" s="111" t="s">
        <v>764</v>
      </c>
      <c r="G357" s="112" t="s">
        <v>95</v>
      </c>
      <c r="H357" s="78">
        <f>'Пр. 11'!I1057</f>
        <v>157391</v>
      </c>
      <c r="I357" s="78">
        <f>'Пр. 11'!J1057</f>
        <v>140939</v>
      </c>
      <c r="J357" s="113">
        <f t="shared" si="19"/>
        <v>-16452</v>
      </c>
      <c r="K357" s="78">
        <f>'Пр. 11'!L1057</f>
        <v>155630</v>
      </c>
      <c r="L357" s="78">
        <f>'Пр. 11'!M1057</f>
        <v>156345</v>
      </c>
    </row>
    <row r="358" spans="1:12" ht="31.5" customHeight="1">
      <c r="A358" s="134" t="s">
        <v>255</v>
      </c>
      <c r="B358" s="112" t="s">
        <v>232</v>
      </c>
      <c r="C358" s="129">
        <v>3</v>
      </c>
      <c r="D358" s="112" t="s">
        <v>153</v>
      </c>
      <c r="E358" s="112" t="s">
        <v>256</v>
      </c>
      <c r="F358" s="111"/>
      <c r="G358" s="112"/>
      <c r="H358" s="78">
        <f>H359</f>
        <v>400</v>
      </c>
      <c r="I358" s="78">
        <f>I359</f>
        <v>400</v>
      </c>
      <c r="J358" s="113">
        <f t="shared" si="19"/>
        <v>0</v>
      </c>
      <c r="K358" s="78">
        <f>K359</f>
        <v>428</v>
      </c>
      <c r="L358" s="78">
        <f>L359</f>
        <v>427</v>
      </c>
    </row>
    <row r="359" spans="1:12" ht="33" customHeight="1">
      <c r="A359" s="22" t="s">
        <v>763</v>
      </c>
      <c r="B359" s="112" t="s">
        <v>232</v>
      </c>
      <c r="C359" s="129">
        <v>3</v>
      </c>
      <c r="D359" s="112" t="s">
        <v>153</v>
      </c>
      <c r="E359" s="112" t="s">
        <v>256</v>
      </c>
      <c r="F359" s="111" t="s">
        <v>764</v>
      </c>
      <c r="G359" s="112"/>
      <c r="H359" s="78">
        <f>H360</f>
        <v>400</v>
      </c>
      <c r="I359" s="78">
        <f>I360</f>
        <v>400</v>
      </c>
      <c r="J359" s="113">
        <f t="shared" si="19"/>
        <v>0</v>
      </c>
      <c r="K359" s="78">
        <f>K360</f>
        <v>428</v>
      </c>
      <c r="L359" s="78">
        <f>L360</f>
        <v>427</v>
      </c>
    </row>
    <row r="360" spans="1:12" ht="19.5" customHeight="1">
      <c r="A360" s="22" t="s">
        <v>94</v>
      </c>
      <c r="B360" s="112" t="s">
        <v>232</v>
      </c>
      <c r="C360" s="129">
        <v>3</v>
      </c>
      <c r="D360" s="112" t="s">
        <v>153</v>
      </c>
      <c r="E360" s="112" t="s">
        <v>256</v>
      </c>
      <c r="F360" s="111" t="s">
        <v>764</v>
      </c>
      <c r="G360" s="112" t="s">
        <v>95</v>
      </c>
      <c r="H360" s="78">
        <f>'Пр. 11'!I1059</f>
        <v>400</v>
      </c>
      <c r="I360" s="78">
        <f>'Пр. 11'!J1059</f>
        <v>400</v>
      </c>
      <c r="J360" s="113">
        <f t="shared" si="19"/>
        <v>0</v>
      </c>
      <c r="K360" s="78">
        <f>'Пр. 11'!L1059</f>
        <v>428</v>
      </c>
      <c r="L360" s="78">
        <f>'Пр. 11'!M1059</f>
        <v>427</v>
      </c>
    </row>
    <row r="361" spans="1:12" ht="21" customHeight="1">
      <c r="A361" s="114" t="s">
        <v>269</v>
      </c>
      <c r="B361" s="112" t="s">
        <v>232</v>
      </c>
      <c r="C361" s="129">
        <v>3</v>
      </c>
      <c r="D361" s="112" t="s">
        <v>153</v>
      </c>
      <c r="E361" s="112" t="s">
        <v>270</v>
      </c>
      <c r="F361" s="111"/>
      <c r="G361" s="112"/>
      <c r="H361" s="78">
        <f>H362</f>
        <v>150</v>
      </c>
      <c r="I361" s="78">
        <f>I362</f>
        <v>150</v>
      </c>
      <c r="J361" s="113">
        <f t="shared" si="19"/>
        <v>0</v>
      </c>
      <c r="K361" s="78">
        <f>K362</f>
        <v>200</v>
      </c>
      <c r="L361" s="78">
        <f>L362</f>
        <v>250</v>
      </c>
    </row>
    <row r="362" spans="1:12" ht="33.75" customHeight="1">
      <c r="A362" s="22" t="s">
        <v>763</v>
      </c>
      <c r="B362" s="112" t="s">
        <v>232</v>
      </c>
      <c r="C362" s="129">
        <v>3</v>
      </c>
      <c r="D362" s="112" t="s">
        <v>153</v>
      </c>
      <c r="E362" s="112" t="s">
        <v>270</v>
      </c>
      <c r="F362" s="111" t="s">
        <v>764</v>
      </c>
      <c r="G362" s="112"/>
      <c r="H362" s="78">
        <f>H363</f>
        <v>150</v>
      </c>
      <c r="I362" s="78">
        <f>I363</f>
        <v>150</v>
      </c>
      <c r="J362" s="113">
        <f t="shared" si="19"/>
        <v>0</v>
      </c>
      <c r="K362" s="78">
        <f>K363</f>
        <v>200</v>
      </c>
      <c r="L362" s="78">
        <f>L363</f>
        <v>250</v>
      </c>
    </row>
    <row r="363" spans="1:12" ht="19.5" customHeight="1">
      <c r="A363" s="22" t="s">
        <v>94</v>
      </c>
      <c r="B363" s="112" t="s">
        <v>232</v>
      </c>
      <c r="C363" s="129">
        <v>3</v>
      </c>
      <c r="D363" s="112" t="s">
        <v>153</v>
      </c>
      <c r="E363" s="112" t="s">
        <v>270</v>
      </c>
      <c r="F363" s="111" t="s">
        <v>764</v>
      </c>
      <c r="G363" s="112" t="s">
        <v>95</v>
      </c>
      <c r="H363" s="78">
        <f>'Пр. 11'!I1061</f>
        <v>150</v>
      </c>
      <c r="I363" s="78">
        <f>'Пр. 11'!J1061</f>
        <v>150</v>
      </c>
      <c r="J363" s="113">
        <f t="shared" si="19"/>
        <v>0</v>
      </c>
      <c r="K363" s="78">
        <f>'Пр. 11'!L1061</f>
        <v>200</v>
      </c>
      <c r="L363" s="78">
        <f>'Пр. 11'!M1061</f>
        <v>250</v>
      </c>
    </row>
    <row r="364" spans="1:12" ht="33" customHeight="1">
      <c r="A364" s="121" t="s">
        <v>1225</v>
      </c>
      <c r="B364" s="112" t="s">
        <v>232</v>
      </c>
      <c r="C364" s="112" t="s">
        <v>139</v>
      </c>
      <c r="D364" s="112" t="s">
        <v>153</v>
      </c>
      <c r="E364" s="112" t="s">
        <v>1219</v>
      </c>
      <c r="F364" s="111"/>
      <c r="G364" s="112"/>
      <c r="H364" s="78">
        <f>H365</f>
        <v>0</v>
      </c>
      <c r="I364" s="78">
        <f>I365</f>
        <v>17712</v>
      </c>
      <c r="J364" s="113">
        <f t="shared" si="19"/>
        <v>17712</v>
      </c>
      <c r="K364" s="78">
        <f>K365</f>
        <v>0</v>
      </c>
      <c r="L364" s="78">
        <f>L365</f>
        <v>0</v>
      </c>
    </row>
    <row r="365" spans="1:12" ht="34.5" customHeight="1">
      <c r="A365" s="123" t="s">
        <v>763</v>
      </c>
      <c r="B365" s="112" t="s">
        <v>232</v>
      </c>
      <c r="C365" s="112" t="s">
        <v>139</v>
      </c>
      <c r="D365" s="112" t="s">
        <v>153</v>
      </c>
      <c r="E365" s="112" t="s">
        <v>1219</v>
      </c>
      <c r="F365" s="111" t="s">
        <v>764</v>
      </c>
      <c r="G365" s="112"/>
      <c r="H365" s="78">
        <f>H366</f>
        <v>0</v>
      </c>
      <c r="I365" s="78">
        <f>I366</f>
        <v>17712</v>
      </c>
      <c r="J365" s="113">
        <f t="shared" si="19"/>
        <v>17712</v>
      </c>
      <c r="K365" s="78">
        <f>K366</f>
        <v>0</v>
      </c>
      <c r="L365" s="78">
        <f>L366</f>
        <v>0</v>
      </c>
    </row>
    <row r="366" spans="1:12" ht="19.5" customHeight="1">
      <c r="A366" s="22" t="s">
        <v>94</v>
      </c>
      <c r="B366" s="112" t="s">
        <v>232</v>
      </c>
      <c r="C366" s="112" t="s">
        <v>139</v>
      </c>
      <c r="D366" s="112" t="s">
        <v>153</v>
      </c>
      <c r="E366" s="112" t="s">
        <v>1219</v>
      </c>
      <c r="F366" s="111" t="s">
        <v>764</v>
      </c>
      <c r="G366" s="112" t="s">
        <v>95</v>
      </c>
      <c r="H366" s="78">
        <f>'Пр. 11'!I1063+'Пр. 11'!I324</f>
        <v>0</v>
      </c>
      <c r="I366" s="78">
        <f>'Пр. 11'!J1063+'Пр. 11'!J324</f>
        <v>17712</v>
      </c>
      <c r="J366" s="113">
        <f t="shared" si="19"/>
        <v>17712</v>
      </c>
      <c r="K366" s="78">
        <f>'Пр. 11'!L1063+'Пр. 11'!L324</f>
        <v>0</v>
      </c>
      <c r="L366" s="78">
        <f>'Пр. 11'!M1063+'Пр. 11'!M324</f>
        <v>0</v>
      </c>
    </row>
    <row r="367" spans="1:12" s="9" customFormat="1" ht="34.5" customHeight="1">
      <c r="A367" s="122" t="s">
        <v>935</v>
      </c>
      <c r="B367" s="107" t="s">
        <v>232</v>
      </c>
      <c r="C367" s="105">
        <v>3</v>
      </c>
      <c r="D367" s="107" t="s">
        <v>166</v>
      </c>
      <c r="E367" s="107" t="s">
        <v>156</v>
      </c>
      <c r="F367" s="71"/>
      <c r="G367" s="107"/>
      <c r="H367" s="37">
        <f>H368+H372+H375+H378+H381+H384</f>
        <v>9092.000000000002</v>
      </c>
      <c r="I367" s="37">
        <f>I368+I372+I375+I378+I381+I384</f>
        <v>9670.500000000002</v>
      </c>
      <c r="J367" s="113">
        <f t="shared" si="19"/>
        <v>578.5</v>
      </c>
      <c r="K367" s="37">
        <f>K368+K372+K375+K378+K381+K384</f>
        <v>3898.8</v>
      </c>
      <c r="L367" s="37">
        <f>L368+L372+L375+L378+L381+L384</f>
        <v>4348.8</v>
      </c>
    </row>
    <row r="368" spans="1:12" ht="34.5" customHeight="1">
      <c r="A368" s="114" t="s">
        <v>271</v>
      </c>
      <c r="B368" s="112" t="s">
        <v>232</v>
      </c>
      <c r="C368" s="129">
        <v>3</v>
      </c>
      <c r="D368" s="112" t="s">
        <v>166</v>
      </c>
      <c r="E368" s="111" t="s">
        <v>1013</v>
      </c>
      <c r="F368" s="111"/>
      <c r="G368" s="112"/>
      <c r="H368" s="78">
        <f>H369</f>
        <v>2109.8</v>
      </c>
      <c r="I368" s="78">
        <f>I369</f>
        <v>2109.8</v>
      </c>
      <c r="J368" s="113">
        <f t="shared" si="19"/>
        <v>0</v>
      </c>
      <c r="K368" s="78">
        <f>K369</f>
        <v>1898.8</v>
      </c>
      <c r="L368" s="78">
        <f>L369</f>
        <v>1898.8</v>
      </c>
    </row>
    <row r="369" spans="1:12" ht="33" customHeight="1">
      <c r="A369" s="114" t="s">
        <v>763</v>
      </c>
      <c r="B369" s="112" t="s">
        <v>232</v>
      </c>
      <c r="C369" s="129">
        <v>3</v>
      </c>
      <c r="D369" s="112" t="s">
        <v>166</v>
      </c>
      <c r="E369" s="111" t="s">
        <v>1013</v>
      </c>
      <c r="F369" s="111" t="s">
        <v>764</v>
      </c>
      <c r="G369" s="112"/>
      <c r="H369" s="78">
        <f>H371+H370</f>
        <v>2109.8</v>
      </c>
      <c r="I369" s="78">
        <f>I371+I370</f>
        <v>2109.8</v>
      </c>
      <c r="J369" s="113">
        <f t="shared" si="19"/>
        <v>0</v>
      </c>
      <c r="K369" s="78">
        <f>K371+K370</f>
        <v>1898.8</v>
      </c>
      <c r="L369" s="78">
        <f>L371+L370</f>
        <v>1898.8</v>
      </c>
    </row>
    <row r="370" spans="1:12" ht="18.75" customHeight="1">
      <c r="A370" s="22" t="s">
        <v>94</v>
      </c>
      <c r="B370" s="112" t="s">
        <v>232</v>
      </c>
      <c r="C370" s="129">
        <v>3</v>
      </c>
      <c r="D370" s="112" t="s">
        <v>166</v>
      </c>
      <c r="E370" s="111" t="s">
        <v>1013</v>
      </c>
      <c r="F370" s="111" t="s">
        <v>764</v>
      </c>
      <c r="G370" s="112" t="s">
        <v>95</v>
      </c>
      <c r="H370" s="78">
        <f>'Пр. 11'!I1066</f>
        <v>2109.8</v>
      </c>
      <c r="I370" s="78">
        <f>'Пр. 11'!J1066</f>
        <v>2109.8</v>
      </c>
      <c r="J370" s="113">
        <f t="shared" si="19"/>
        <v>0</v>
      </c>
      <c r="K370" s="78">
        <f>'Пр. 11'!L1066</f>
        <v>1898.8</v>
      </c>
      <c r="L370" s="78">
        <f>'Пр. 11'!M1066</f>
        <v>1898.8</v>
      </c>
    </row>
    <row r="371" spans="1:12" ht="21" customHeight="1">
      <c r="A371" s="114" t="s">
        <v>100</v>
      </c>
      <c r="B371" s="112" t="s">
        <v>232</v>
      </c>
      <c r="C371" s="129">
        <v>3</v>
      </c>
      <c r="D371" s="112" t="s">
        <v>166</v>
      </c>
      <c r="E371" s="111" t="s">
        <v>1013</v>
      </c>
      <c r="F371" s="111" t="s">
        <v>764</v>
      </c>
      <c r="G371" s="112" t="s">
        <v>101</v>
      </c>
      <c r="H371" s="78">
        <f>'Пр. 11'!I1106</f>
        <v>0</v>
      </c>
      <c r="I371" s="78">
        <f>'Пр. 11'!J1106</f>
        <v>0</v>
      </c>
      <c r="J371" s="113">
        <f t="shared" si="19"/>
        <v>0</v>
      </c>
      <c r="K371" s="78">
        <f>'Пр. 11'!L1106</f>
        <v>0</v>
      </c>
      <c r="L371" s="78">
        <f>'Пр. 11'!M1106</f>
        <v>0</v>
      </c>
    </row>
    <row r="372" spans="1:12" ht="17.25" customHeight="1">
      <c r="A372" s="134" t="s">
        <v>244</v>
      </c>
      <c r="B372" s="112" t="s">
        <v>232</v>
      </c>
      <c r="C372" s="129">
        <v>3</v>
      </c>
      <c r="D372" s="112" t="s">
        <v>166</v>
      </c>
      <c r="E372" s="112" t="s">
        <v>209</v>
      </c>
      <c r="F372" s="111"/>
      <c r="G372" s="112"/>
      <c r="H372" s="78">
        <f>H373</f>
        <v>5376.6</v>
      </c>
      <c r="I372" s="78">
        <f>I373</f>
        <v>5376.6</v>
      </c>
      <c r="J372" s="113">
        <f aca="true" t="shared" si="25" ref="J372:J442">I372-H372</f>
        <v>0</v>
      </c>
      <c r="K372" s="78">
        <f>K373</f>
        <v>0</v>
      </c>
      <c r="L372" s="78">
        <f>L373</f>
        <v>0</v>
      </c>
    </row>
    <row r="373" spans="1:12" ht="36.75" customHeight="1">
      <c r="A373" s="22" t="s">
        <v>763</v>
      </c>
      <c r="B373" s="112" t="s">
        <v>232</v>
      </c>
      <c r="C373" s="129">
        <v>3</v>
      </c>
      <c r="D373" s="112" t="s">
        <v>166</v>
      </c>
      <c r="E373" s="112" t="s">
        <v>209</v>
      </c>
      <c r="F373" s="111" t="s">
        <v>764</v>
      </c>
      <c r="G373" s="112"/>
      <c r="H373" s="78">
        <f>H374</f>
        <v>5376.6</v>
      </c>
      <c r="I373" s="78">
        <f>I374</f>
        <v>5376.6</v>
      </c>
      <c r="J373" s="113">
        <f t="shared" si="25"/>
        <v>0</v>
      </c>
      <c r="K373" s="78">
        <f>K374</f>
        <v>0</v>
      </c>
      <c r="L373" s="78">
        <f>L374</f>
        <v>0</v>
      </c>
    </row>
    <row r="374" spans="1:12" s="5" customFormat="1" ht="17.25" customHeight="1">
      <c r="A374" s="22" t="s">
        <v>94</v>
      </c>
      <c r="B374" s="112" t="s">
        <v>232</v>
      </c>
      <c r="C374" s="129">
        <v>3</v>
      </c>
      <c r="D374" s="112" t="s">
        <v>166</v>
      </c>
      <c r="E374" s="112" t="s">
        <v>209</v>
      </c>
      <c r="F374" s="111" t="s">
        <v>764</v>
      </c>
      <c r="G374" s="112" t="s">
        <v>95</v>
      </c>
      <c r="H374" s="78">
        <f>'Пр. 11'!I1068</f>
        <v>5376.6</v>
      </c>
      <c r="I374" s="78">
        <f>'Пр. 11'!J1068</f>
        <v>5376.6</v>
      </c>
      <c r="J374" s="113">
        <f t="shared" si="25"/>
        <v>0</v>
      </c>
      <c r="K374" s="78">
        <f>'Пр. 11'!L1068</f>
        <v>0</v>
      </c>
      <c r="L374" s="78">
        <f>'Пр. 11'!M1068</f>
        <v>0</v>
      </c>
    </row>
    <row r="375" spans="1:12" ht="32.25" customHeight="1">
      <c r="A375" s="114" t="s">
        <v>273</v>
      </c>
      <c r="B375" s="112" t="s">
        <v>232</v>
      </c>
      <c r="C375" s="129">
        <v>3</v>
      </c>
      <c r="D375" s="112" t="s">
        <v>166</v>
      </c>
      <c r="E375" s="112" t="s">
        <v>274</v>
      </c>
      <c r="F375" s="111"/>
      <c r="G375" s="112"/>
      <c r="H375" s="78">
        <f>H376</f>
        <v>865</v>
      </c>
      <c r="I375" s="78">
        <f>I376</f>
        <v>865</v>
      </c>
      <c r="J375" s="113">
        <f t="shared" si="25"/>
        <v>0</v>
      </c>
      <c r="K375" s="78">
        <f>K376</f>
        <v>1000</v>
      </c>
      <c r="L375" s="78">
        <f>L376</f>
        <v>1000</v>
      </c>
    </row>
    <row r="376" spans="1:12" ht="33" customHeight="1">
      <c r="A376" s="22" t="s">
        <v>763</v>
      </c>
      <c r="B376" s="112" t="s">
        <v>232</v>
      </c>
      <c r="C376" s="129">
        <v>3</v>
      </c>
      <c r="D376" s="112" t="s">
        <v>166</v>
      </c>
      <c r="E376" s="112" t="s">
        <v>274</v>
      </c>
      <c r="F376" s="111" t="s">
        <v>764</v>
      </c>
      <c r="G376" s="112"/>
      <c r="H376" s="78">
        <f>H377</f>
        <v>865</v>
      </c>
      <c r="I376" s="78">
        <f>I377</f>
        <v>865</v>
      </c>
      <c r="J376" s="113">
        <f t="shared" si="25"/>
        <v>0</v>
      </c>
      <c r="K376" s="78">
        <f>K377</f>
        <v>1000</v>
      </c>
      <c r="L376" s="78">
        <f>L377</f>
        <v>1000</v>
      </c>
    </row>
    <row r="377" spans="1:12" ht="17.25" customHeight="1">
      <c r="A377" s="22" t="s">
        <v>94</v>
      </c>
      <c r="B377" s="112" t="s">
        <v>232</v>
      </c>
      <c r="C377" s="129">
        <v>3</v>
      </c>
      <c r="D377" s="112" t="s">
        <v>166</v>
      </c>
      <c r="E377" s="112" t="s">
        <v>274</v>
      </c>
      <c r="F377" s="111" t="s">
        <v>764</v>
      </c>
      <c r="G377" s="112" t="s">
        <v>95</v>
      </c>
      <c r="H377" s="78">
        <f>'Пр. 11'!I1070</f>
        <v>865</v>
      </c>
      <c r="I377" s="78">
        <f>'Пр. 11'!J1070</f>
        <v>865</v>
      </c>
      <c r="J377" s="113">
        <f t="shared" si="25"/>
        <v>0</v>
      </c>
      <c r="K377" s="78">
        <f>'Пр. 11'!L1070</f>
        <v>1000</v>
      </c>
      <c r="L377" s="78">
        <f>'Пр. 11'!M1070</f>
        <v>1000</v>
      </c>
    </row>
    <row r="378" spans="1:12" ht="24.75" customHeight="1">
      <c r="A378" s="114" t="s">
        <v>1092</v>
      </c>
      <c r="B378" s="112" t="s">
        <v>232</v>
      </c>
      <c r="C378" s="129">
        <v>3</v>
      </c>
      <c r="D378" s="112" t="s">
        <v>166</v>
      </c>
      <c r="E378" s="112" t="s">
        <v>247</v>
      </c>
      <c r="F378" s="111"/>
      <c r="G378" s="112"/>
      <c r="H378" s="78">
        <f>H379</f>
        <v>390.6</v>
      </c>
      <c r="I378" s="78">
        <f>I379</f>
        <v>969.1</v>
      </c>
      <c r="J378" s="113">
        <f t="shared" si="25"/>
        <v>578.5</v>
      </c>
      <c r="K378" s="78">
        <f>K379</f>
        <v>1000</v>
      </c>
      <c r="L378" s="78">
        <f>L379</f>
        <v>1450</v>
      </c>
    </row>
    <row r="379" spans="1:12" ht="34.5" customHeight="1">
      <c r="A379" s="22" t="s">
        <v>763</v>
      </c>
      <c r="B379" s="112" t="s">
        <v>232</v>
      </c>
      <c r="C379" s="129">
        <v>3</v>
      </c>
      <c r="D379" s="112" t="s">
        <v>166</v>
      </c>
      <c r="E379" s="112" t="s">
        <v>247</v>
      </c>
      <c r="F379" s="111" t="s">
        <v>764</v>
      </c>
      <c r="G379" s="112"/>
      <c r="H379" s="78">
        <f>H380</f>
        <v>390.6</v>
      </c>
      <c r="I379" s="78">
        <f>I380</f>
        <v>969.1</v>
      </c>
      <c r="J379" s="113">
        <f t="shared" si="25"/>
        <v>578.5</v>
      </c>
      <c r="K379" s="78">
        <f>K380</f>
        <v>1000</v>
      </c>
      <c r="L379" s="78">
        <f>L380</f>
        <v>1450</v>
      </c>
    </row>
    <row r="380" spans="1:12" ht="19.5" customHeight="1">
      <c r="A380" s="22" t="s">
        <v>94</v>
      </c>
      <c r="B380" s="112" t="s">
        <v>232</v>
      </c>
      <c r="C380" s="129">
        <v>3</v>
      </c>
      <c r="D380" s="112" t="s">
        <v>166</v>
      </c>
      <c r="E380" s="112" t="s">
        <v>247</v>
      </c>
      <c r="F380" s="111" t="s">
        <v>764</v>
      </c>
      <c r="G380" s="112" t="s">
        <v>95</v>
      </c>
      <c r="H380" s="78">
        <f>'Пр. 11'!I1072</f>
        <v>390.6</v>
      </c>
      <c r="I380" s="78">
        <f>'Пр. 11'!J1072</f>
        <v>969.1</v>
      </c>
      <c r="J380" s="113">
        <f t="shared" si="25"/>
        <v>578.5</v>
      </c>
      <c r="K380" s="78">
        <f>'Пр. 11'!L1072</f>
        <v>1000</v>
      </c>
      <c r="L380" s="78">
        <f>'Пр. 11'!M1072</f>
        <v>1450</v>
      </c>
    </row>
    <row r="381" spans="1:12" ht="35.25" customHeight="1" hidden="1">
      <c r="A381" s="121" t="s">
        <v>868</v>
      </c>
      <c r="B381" s="112" t="s">
        <v>232</v>
      </c>
      <c r="C381" s="112" t="s">
        <v>139</v>
      </c>
      <c r="D381" s="112" t="s">
        <v>166</v>
      </c>
      <c r="E381" s="112" t="s">
        <v>867</v>
      </c>
      <c r="F381" s="111"/>
      <c r="G381" s="112"/>
      <c r="H381" s="78">
        <f>H382</f>
        <v>0</v>
      </c>
      <c r="I381" s="78">
        <f>I382</f>
        <v>0</v>
      </c>
      <c r="J381" s="113">
        <f t="shared" si="25"/>
        <v>0</v>
      </c>
      <c r="K381" s="78">
        <f>K382</f>
        <v>0</v>
      </c>
      <c r="L381" s="78">
        <f>L382</f>
        <v>0</v>
      </c>
    </row>
    <row r="382" spans="1:12" ht="39" customHeight="1" hidden="1">
      <c r="A382" s="121" t="s">
        <v>763</v>
      </c>
      <c r="B382" s="112" t="s">
        <v>232</v>
      </c>
      <c r="C382" s="112" t="s">
        <v>139</v>
      </c>
      <c r="D382" s="112" t="s">
        <v>166</v>
      </c>
      <c r="E382" s="112" t="s">
        <v>867</v>
      </c>
      <c r="F382" s="111" t="s">
        <v>764</v>
      </c>
      <c r="G382" s="112"/>
      <c r="H382" s="78">
        <f>H383</f>
        <v>0</v>
      </c>
      <c r="I382" s="78">
        <f>I383</f>
        <v>0</v>
      </c>
      <c r="J382" s="113">
        <f t="shared" si="25"/>
        <v>0</v>
      </c>
      <c r="K382" s="78">
        <f>K383</f>
        <v>0</v>
      </c>
      <c r="L382" s="78">
        <f>L383</f>
        <v>0</v>
      </c>
    </row>
    <row r="383" spans="1:12" ht="19.5" customHeight="1" hidden="1">
      <c r="A383" s="22" t="s">
        <v>94</v>
      </c>
      <c r="B383" s="112" t="s">
        <v>232</v>
      </c>
      <c r="C383" s="112" t="s">
        <v>139</v>
      </c>
      <c r="D383" s="112" t="s">
        <v>166</v>
      </c>
      <c r="E383" s="112" t="s">
        <v>867</v>
      </c>
      <c r="F383" s="111" t="s">
        <v>764</v>
      </c>
      <c r="G383" s="112" t="s">
        <v>95</v>
      </c>
      <c r="H383" s="78">
        <f>'Пр. 11'!I1074</f>
        <v>0</v>
      </c>
      <c r="I383" s="78">
        <f>'Пр. 11'!J1074</f>
        <v>0</v>
      </c>
      <c r="J383" s="113">
        <f t="shared" si="25"/>
        <v>0</v>
      </c>
      <c r="K383" s="78">
        <f>'Пр. 11'!L1074</f>
        <v>0</v>
      </c>
      <c r="L383" s="78">
        <f>'Пр. 11'!M1074</f>
        <v>0</v>
      </c>
    </row>
    <row r="384" spans="1:12" ht="52.5" customHeight="1">
      <c r="A384" s="22" t="s">
        <v>210</v>
      </c>
      <c r="B384" s="112" t="s">
        <v>232</v>
      </c>
      <c r="C384" s="129">
        <v>3</v>
      </c>
      <c r="D384" s="112" t="s">
        <v>166</v>
      </c>
      <c r="E384" s="112" t="s">
        <v>211</v>
      </c>
      <c r="F384" s="111"/>
      <c r="G384" s="112"/>
      <c r="H384" s="78">
        <f>H385</f>
        <v>350</v>
      </c>
      <c r="I384" s="78">
        <f>I385</f>
        <v>350</v>
      </c>
      <c r="J384" s="113">
        <f t="shared" si="25"/>
        <v>0</v>
      </c>
      <c r="K384" s="78">
        <f>K385</f>
        <v>0</v>
      </c>
      <c r="L384" s="78">
        <f>L385</f>
        <v>0</v>
      </c>
    </row>
    <row r="385" spans="1:12" ht="36.75" customHeight="1">
      <c r="A385" s="22" t="s">
        <v>763</v>
      </c>
      <c r="B385" s="112" t="s">
        <v>232</v>
      </c>
      <c r="C385" s="129">
        <v>3</v>
      </c>
      <c r="D385" s="112" t="s">
        <v>166</v>
      </c>
      <c r="E385" s="112" t="s">
        <v>211</v>
      </c>
      <c r="F385" s="111" t="s">
        <v>764</v>
      </c>
      <c r="G385" s="112"/>
      <c r="H385" s="78">
        <f>H386</f>
        <v>350</v>
      </c>
      <c r="I385" s="78">
        <f>I386</f>
        <v>350</v>
      </c>
      <c r="J385" s="113">
        <f t="shared" si="25"/>
        <v>0</v>
      </c>
      <c r="K385" s="78">
        <f>K386</f>
        <v>0</v>
      </c>
      <c r="L385" s="78">
        <f>L386</f>
        <v>0</v>
      </c>
    </row>
    <row r="386" spans="1:12" ht="17.25" customHeight="1">
      <c r="A386" s="22" t="s">
        <v>94</v>
      </c>
      <c r="B386" s="112" t="s">
        <v>232</v>
      </c>
      <c r="C386" s="129">
        <v>3</v>
      </c>
      <c r="D386" s="112" t="s">
        <v>166</v>
      </c>
      <c r="E386" s="112" t="s">
        <v>211</v>
      </c>
      <c r="F386" s="111" t="s">
        <v>764</v>
      </c>
      <c r="G386" s="112" t="s">
        <v>95</v>
      </c>
      <c r="H386" s="78">
        <f>'Пр. 11'!I1076</f>
        <v>350</v>
      </c>
      <c r="I386" s="78">
        <f>'Пр. 11'!J1076</f>
        <v>350</v>
      </c>
      <c r="J386" s="113">
        <f t="shared" si="25"/>
        <v>0</v>
      </c>
      <c r="K386" s="78">
        <f>'Пр. 11'!L1076</f>
        <v>0</v>
      </c>
      <c r="L386" s="78">
        <f>'Пр. 11'!M1076</f>
        <v>0</v>
      </c>
    </row>
    <row r="387" spans="1:12" s="9" customFormat="1" ht="36" customHeight="1">
      <c r="A387" s="109" t="s">
        <v>275</v>
      </c>
      <c r="B387" s="71" t="s">
        <v>232</v>
      </c>
      <c r="C387" s="71" t="s">
        <v>140</v>
      </c>
      <c r="D387" s="71" t="s">
        <v>155</v>
      </c>
      <c r="E387" s="71" t="s">
        <v>156</v>
      </c>
      <c r="F387" s="71"/>
      <c r="G387" s="107"/>
      <c r="H387" s="37">
        <f>H388</f>
        <v>822</v>
      </c>
      <c r="I387" s="37">
        <f>I388</f>
        <v>822</v>
      </c>
      <c r="J387" s="108">
        <f t="shared" si="25"/>
        <v>0</v>
      </c>
      <c r="K387" s="37">
        <f>K388</f>
        <v>1397</v>
      </c>
      <c r="L387" s="37">
        <f>L388</f>
        <v>1597</v>
      </c>
    </row>
    <row r="388" spans="1:12" s="9" customFormat="1" ht="50.25" customHeight="1">
      <c r="A388" s="128" t="s">
        <v>276</v>
      </c>
      <c r="B388" s="71" t="s">
        <v>232</v>
      </c>
      <c r="C388" s="71" t="s">
        <v>140</v>
      </c>
      <c r="D388" s="71" t="s">
        <v>153</v>
      </c>
      <c r="E388" s="71" t="s">
        <v>156</v>
      </c>
      <c r="F388" s="71"/>
      <c r="G388" s="107"/>
      <c r="H388" s="37">
        <f>H389+H394+H397</f>
        <v>822</v>
      </c>
      <c r="I388" s="37">
        <f>I389+I394+I397</f>
        <v>822</v>
      </c>
      <c r="J388" s="108">
        <f t="shared" si="25"/>
        <v>0</v>
      </c>
      <c r="K388" s="37">
        <f>K389+K394+K397</f>
        <v>1397</v>
      </c>
      <c r="L388" s="37">
        <f>L389+L394+L397</f>
        <v>1597</v>
      </c>
    </row>
    <row r="389" spans="1:12" ht="20.25" customHeight="1">
      <c r="A389" s="123" t="s">
        <v>1094</v>
      </c>
      <c r="B389" s="111" t="s">
        <v>232</v>
      </c>
      <c r="C389" s="111" t="s">
        <v>140</v>
      </c>
      <c r="D389" s="111" t="s">
        <v>153</v>
      </c>
      <c r="E389" s="111" t="s">
        <v>277</v>
      </c>
      <c r="F389" s="111"/>
      <c r="G389" s="112"/>
      <c r="H389" s="78">
        <f>H392+H390</f>
        <v>170</v>
      </c>
      <c r="I389" s="78">
        <f>I392+I390</f>
        <v>170</v>
      </c>
      <c r="J389" s="113">
        <f t="shared" si="25"/>
        <v>0</v>
      </c>
      <c r="K389" s="78">
        <f>K392+K390</f>
        <v>337</v>
      </c>
      <c r="L389" s="78">
        <f>L392+L390</f>
        <v>447</v>
      </c>
    </row>
    <row r="390" spans="1:12" ht="36.75" customHeight="1">
      <c r="A390" s="135" t="s">
        <v>758</v>
      </c>
      <c r="B390" s="111" t="s">
        <v>232</v>
      </c>
      <c r="C390" s="111" t="s">
        <v>140</v>
      </c>
      <c r="D390" s="111" t="s">
        <v>153</v>
      </c>
      <c r="E390" s="111" t="s">
        <v>277</v>
      </c>
      <c r="F390" s="111" t="s">
        <v>757</v>
      </c>
      <c r="G390" s="112"/>
      <c r="H390" s="78">
        <f>H391</f>
        <v>170</v>
      </c>
      <c r="I390" s="78">
        <f>I391</f>
        <v>170</v>
      </c>
      <c r="J390" s="113">
        <f t="shared" si="25"/>
        <v>0</v>
      </c>
      <c r="K390" s="78">
        <f>K391</f>
        <v>0</v>
      </c>
      <c r="L390" s="78">
        <f>L391</f>
        <v>0</v>
      </c>
    </row>
    <row r="391" spans="1:12" ht="17.25" customHeight="1">
      <c r="A391" s="22" t="s">
        <v>100</v>
      </c>
      <c r="B391" s="111" t="s">
        <v>232</v>
      </c>
      <c r="C391" s="111" t="s">
        <v>140</v>
      </c>
      <c r="D391" s="111" t="s">
        <v>153</v>
      </c>
      <c r="E391" s="111" t="s">
        <v>277</v>
      </c>
      <c r="F391" s="111" t="s">
        <v>757</v>
      </c>
      <c r="G391" s="112" t="s">
        <v>101</v>
      </c>
      <c r="H391" s="78">
        <f>'Пр. 11'!I1110</f>
        <v>170</v>
      </c>
      <c r="I391" s="78">
        <f>'Пр. 11'!J1110</f>
        <v>170</v>
      </c>
      <c r="J391" s="113">
        <f t="shared" si="25"/>
        <v>0</v>
      </c>
      <c r="K391" s="78">
        <f>'Пр. 11'!L1110</f>
        <v>0</v>
      </c>
      <c r="L391" s="78">
        <f>'Пр. 11'!M1110</f>
        <v>0</v>
      </c>
    </row>
    <row r="392" spans="1:12" ht="33" customHeight="1">
      <c r="A392" s="22" t="s">
        <v>763</v>
      </c>
      <c r="B392" s="111" t="s">
        <v>232</v>
      </c>
      <c r="C392" s="111" t="s">
        <v>140</v>
      </c>
      <c r="D392" s="111" t="s">
        <v>153</v>
      </c>
      <c r="E392" s="111" t="s">
        <v>277</v>
      </c>
      <c r="F392" s="111" t="s">
        <v>764</v>
      </c>
      <c r="G392" s="112"/>
      <c r="H392" s="78">
        <f>H393</f>
        <v>0</v>
      </c>
      <c r="I392" s="78">
        <f>I393</f>
        <v>0</v>
      </c>
      <c r="J392" s="113">
        <f t="shared" si="25"/>
        <v>0</v>
      </c>
      <c r="K392" s="78">
        <f>K393</f>
        <v>337</v>
      </c>
      <c r="L392" s="78">
        <f>L393</f>
        <v>447</v>
      </c>
    </row>
    <row r="393" spans="1:12" ht="17.25" customHeight="1">
      <c r="A393" s="114" t="s">
        <v>100</v>
      </c>
      <c r="B393" s="111" t="s">
        <v>232</v>
      </c>
      <c r="C393" s="111" t="s">
        <v>140</v>
      </c>
      <c r="D393" s="111" t="s">
        <v>153</v>
      </c>
      <c r="E393" s="111" t="s">
        <v>277</v>
      </c>
      <c r="F393" s="111" t="s">
        <v>764</v>
      </c>
      <c r="G393" s="112" t="s">
        <v>101</v>
      </c>
      <c r="H393" s="78">
        <f>'Пр. 11'!I1111</f>
        <v>0</v>
      </c>
      <c r="I393" s="78">
        <f>'Пр. 11'!J1111</f>
        <v>0</v>
      </c>
      <c r="J393" s="113">
        <f t="shared" si="25"/>
        <v>0</v>
      </c>
      <c r="K393" s="78">
        <f>'Пр. 11'!L1111</f>
        <v>337</v>
      </c>
      <c r="L393" s="78">
        <f>'Пр. 11'!M1111</f>
        <v>447</v>
      </c>
    </row>
    <row r="394" spans="1:12" ht="33" customHeight="1">
      <c r="A394" s="22" t="s">
        <v>278</v>
      </c>
      <c r="B394" s="111" t="s">
        <v>232</v>
      </c>
      <c r="C394" s="111" t="s">
        <v>140</v>
      </c>
      <c r="D394" s="111" t="s">
        <v>153</v>
      </c>
      <c r="E394" s="112" t="s">
        <v>1020</v>
      </c>
      <c r="F394" s="111"/>
      <c r="G394" s="112"/>
      <c r="H394" s="78">
        <f>H395</f>
        <v>530</v>
      </c>
      <c r="I394" s="78">
        <f>I395</f>
        <v>530</v>
      </c>
      <c r="J394" s="113">
        <f t="shared" si="25"/>
        <v>0</v>
      </c>
      <c r="K394" s="78">
        <f>K395</f>
        <v>450</v>
      </c>
      <c r="L394" s="78">
        <f>L395</f>
        <v>450</v>
      </c>
    </row>
    <row r="395" spans="1:12" ht="33" customHeight="1">
      <c r="A395" s="22" t="s">
        <v>763</v>
      </c>
      <c r="B395" s="111" t="s">
        <v>232</v>
      </c>
      <c r="C395" s="111" t="s">
        <v>140</v>
      </c>
      <c r="D395" s="111" t="s">
        <v>153</v>
      </c>
      <c r="E395" s="112" t="s">
        <v>1020</v>
      </c>
      <c r="F395" s="111" t="s">
        <v>764</v>
      </c>
      <c r="G395" s="112"/>
      <c r="H395" s="78">
        <f>H396</f>
        <v>530</v>
      </c>
      <c r="I395" s="78">
        <f>I396</f>
        <v>530</v>
      </c>
      <c r="J395" s="113">
        <f t="shared" si="25"/>
        <v>0</v>
      </c>
      <c r="K395" s="78">
        <f>K396</f>
        <v>450</v>
      </c>
      <c r="L395" s="78">
        <f>L396</f>
        <v>450</v>
      </c>
    </row>
    <row r="396" spans="1:12" ht="32.25" customHeight="1">
      <c r="A396" s="22" t="s">
        <v>96</v>
      </c>
      <c r="B396" s="111" t="s">
        <v>232</v>
      </c>
      <c r="C396" s="111" t="s">
        <v>140</v>
      </c>
      <c r="D396" s="111" t="s">
        <v>153</v>
      </c>
      <c r="E396" s="112" t="s">
        <v>1020</v>
      </c>
      <c r="F396" s="111" t="s">
        <v>764</v>
      </c>
      <c r="G396" s="112" t="s">
        <v>97</v>
      </c>
      <c r="H396" s="78">
        <f>'Пр. 11'!I1082</f>
        <v>530</v>
      </c>
      <c r="I396" s="78">
        <f>'Пр. 11'!J1082</f>
        <v>530</v>
      </c>
      <c r="J396" s="113">
        <f t="shared" si="25"/>
        <v>0</v>
      </c>
      <c r="K396" s="78">
        <f>'Пр. 11'!L1082</f>
        <v>450</v>
      </c>
      <c r="L396" s="78">
        <f>'Пр. 11'!M1082</f>
        <v>450</v>
      </c>
    </row>
    <row r="397" spans="1:12" ht="38.25" customHeight="1">
      <c r="A397" s="22" t="s">
        <v>905</v>
      </c>
      <c r="B397" s="111" t="s">
        <v>232</v>
      </c>
      <c r="C397" s="111" t="s">
        <v>140</v>
      </c>
      <c r="D397" s="111" t="s">
        <v>153</v>
      </c>
      <c r="E397" s="111" t="s">
        <v>951</v>
      </c>
      <c r="F397" s="111"/>
      <c r="G397" s="112"/>
      <c r="H397" s="78">
        <f>H398</f>
        <v>122</v>
      </c>
      <c r="I397" s="78">
        <f>I398</f>
        <v>122</v>
      </c>
      <c r="J397" s="113">
        <f t="shared" si="25"/>
        <v>0</v>
      </c>
      <c r="K397" s="78">
        <f>K398</f>
        <v>610</v>
      </c>
      <c r="L397" s="78">
        <f>L398</f>
        <v>700</v>
      </c>
    </row>
    <row r="398" spans="1:12" ht="33" customHeight="1">
      <c r="A398" s="22" t="s">
        <v>763</v>
      </c>
      <c r="B398" s="111" t="s">
        <v>232</v>
      </c>
      <c r="C398" s="111" t="s">
        <v>140</v>
      </c>
      <c r="D398" s="111" t="s">
        <v>153</v>
      </c>
      <c r="E398" s="111" t="s">
        <v>951</v>
      </c>
      <c r="F398" s="111" t="s">
        <v>764</v>
      </c>
      <c r="G398" s="112"/>
      <c r="H398" s="78">
        <f>H399</f>
        <v>122</v>
      </c>
      <c r="I398" s="78">
        <f>I399</f>
        <v>122</v>
      </c>
      <c r="J398" s="113">
        <f t="shared" si="25"/>
        <v>0</v>
      </c>
      <c r="K398" s="78">
        <f>K399</f>
        <v>610</v>
      </c>
      <c r="L398" s="78">
        <f>L399</f>
        <v>700</v>
      </c>
    </row>
    <row r="399" spans="1:12" ht="22.5" customHeight="1">
      <c r="A399" s="114" t="s">
        <v>100</v>
      </c>
      <c r="B399" s="111" t="s">
        <v>232</v>
      </c>
      <c r="C399" s="111" t="s">
        <v>140</v>
      </c>
      <c r="D399" s="111" t="s">
        <v>153</v>
      </c>
      <c r="E399" s="111" t="s">
        <v>951</v>
      </c>
      <c r="F399" s="111" t="s">
        <v>764</v>
      </c>
      <c r="G399" s="112" t="s">
        <v>101</v>
      </c>
      <c r="H399" s="78">
        <f>'Пр. 11'!I1113</f>
        <v>122</v>
      </c>
      <c r="I399" s="78">
        <f>'Пр. 11'!J1113</f>
        <v>122</v>
      </c>
      <c r="J399" s="113">
        <f t="shared" si="25"/>
        <v>0</v>
      </c>
      <c r="K399" s="78">
        <f>'Пр. 11'!L1113</f>
        <v>610</v>
      </c>
      <c r="L399" s="78">
        <f>'Пр. 11'!M1113</f>
        <v>700</v>
      </c>
    </row>
    <row r="400" spans="1:12" s="9" customFormat="1" ht="50.25" customHeight="1">
      <c r="A400" s="109" t="s">
        <v>279</v>
      </c>
      <c r="B400" s="71" t="s">
        <v>232</v>
      </c>
      <c r="C400" s="71" t="s">
        <v>142</v>
      </c>
      <c r="D400" s="71" t="s">
        <v>155</v>
      </c>
      <c r="E400" s="71" t="s">
        <v>156</v>
      </c>
      <c r="F400" s="71"/>
      <c r="G400" s="107"/>
      <c r="H400" s="37">
        <f>H401</f>
        <v>12062.7</v>
      </c>
      <c r="I400" s="37">
        <f>I401</f>
        <v>12062.7</v>
      </c>
      <c r="J400" s="108">
        <f t="shared" si="25"/>
        <v>0</v>
      </c>
      <c r="K400" s="37">
        <f>K401</f>
        <v>11120.7</v>
      </c>
      <c r="L400" s="37">
        <f>L401</f>
        <v>9620.7</v>
      </c>
    </row>
    <row r="401" spans="1:12" s="9" customFormat="1" ht="33.75" customHeight="1">
      <c r="A401" s="128" t="s">
        <v>280</v>
      </c>
      <c r="B401" s="71" t="s">
        <v>232</v>
      </c>
      <c r="C401" s="71" t="s">
        <v>142</v>
      </c>
      <c r="D401" s="71" t="s">
        <v>153</v>
      </c>
      <c r="E401" s="71" t="s">
        <v>156</v>
      </c>
      <c r="F401" s="71"/>
      <c r="G401" s="107"/>
      <c r="H401" s="37">
        <f>H402+H406+H410+H414+H417</f>
        <v>12062.7</v>
      </c>
      <c r="I401" s="37">
        <f>I402+I406+I410+I414+I417</f>
        <v>12062.7</v>
      </c>
      <c r="J401" s="108">
        <f t="shared" si="25"/>
        <v>0</v>
      </c>
      <c r="K401" s="37">
        <f>K402+K406+K410+K414+K417</f>
        <v>11120.7</v>
      </c>
      <c r="L401" s="37">
        <f>L402+L406+L410+L414+L417</f>
        <v>9620.7</v>
      </c>
    </row>
    <row r="402" spans="1:12" ht="48" customHeight="1">
      <c r="A402" s="114" t="s">
        <v>281</v>
      </c>
      <c r="B402" s="111" t="s">
        <v>232</v>
      </c>
      <c r="C402" s="111" t="s">
        <v>142</v>
      </c>
      <c r="D402" s="111" t="s">
        <v>153</v>
      </c>
      <c r="E402" s="111" t="s">
        <v>282</v>
      </c>
      <c r="F402" s="111"/>
      <c r="G402" s="112"/>
      <c r="H402" s="78">
        <f>H403</f>
        <v>2384.1</v>
      </c>
      <c r="I402" s="78">
        <f>I403</f>
        <v>2384.1</v>
      </c>
      <c r="J402" s="113">
        <f t="shared" si="25"/>
        <v>0</v>
      </c>
      <c r="K402" s="78">
        <f>K403</f>
        <v>2400</v>
      </c>
      <c r="L402" s="78">
        <f>L403</f>
        <v>1400</v>
      </c>
    </row>
    <row r="403" spans="1:12" ht="34.5" customHeight="1">
      <c r="A403" s="22" t="s">
        <v>763</v>
      </c>
      <c r="B403" s="111" t="s">
        <v>232</v>
      </c>
      <c r="C403" s="111" t="s">
        <v>142</v>
      </c>
      <c r="D403" s="111" t="s">
        <v>153</v>
      </c>
      <c r="E403" s="111" t="s">
        <v>282</v>
      </c>
      <c r="F403" s="111" t="s">
        <v>764</v>
      </c>
      <c r="G403" s="112"/>
      <c r="H403" s="78">
        <f>H404</f>
        <v>2384.1</v>
      </c>
      <c r="I403" s="78">
        <f>I404</f>
        <v>2384.1</v>
      </c>
      <c r="J403" s="113">
        <f t="shared" si="25"/>
        <v>0</v>
      </c>
      <c r="K403" s="78">
        <f>K404</f>
        <v>2400</v>
      </c>
      <c r="L403" s="78">
        <f>L404</f>
        <v>1400</v>
      </c>
    </row>
    <row r="404" spans="1:12" ht="21.75" customHeight="1">
      <c r="A404" s="22" t="s">
        <v>98</v>
      </c>
      <c r="B404" s="111" t="s">
        <v>232</v>
      </c>
      <c r="C404" s="111" t="s">
        <v>142</v>
      </c>
      <c r="D404" s="111" t="s">
        <v>153</v>
      </c>
      <c r="E404" s="111" t="s">
        <v>282</v>
      </c>
      <c r="F404" s="111" t="s">
        <v>764</v>
      </c>
      <c r="G404" s="112" t="s">
        <v>99</v>
      </c>
      <c r="H404" s="78">
        <f>'Пр. 11'!I1088</f>
        <v>2384.1</v>
      </c>
      <c r="I404" s="78">
        <f>'Пр. 11'!J1088</f>
        <v>2384.1</v>
      </c>
      <c r="J404" s="113">
        <f t="shared" si="25"/>
        <v>0</v>
      </c>
      <c r="K404" s="78">
        <f>'Пр. 11'!L1088</f>
        <v>2400</v>
      </c>
      <c r="L404" s="78">
        <f>'Пр. 11'!M1088</f>
        <v>1400</v>
      </c>
    </row>
    <row r="405" spans="1:12" s="5" customFormat="1" ht="17.25" customHeight="1" hidden="1">
      <c r="A405" s="114" t="s">
        <v>100</v>
      </c>
      <c r="B405" s="111" t="s">
        <v>232</v>
      </c>
      <c r="C405" s="111" t="s">
        <v>142</v>
      </c>
      <c r="D405" s="111" t="s">
        <v>153</v>
      </c>
      <c r="E405" s="111" t="s">
        <v>282</v>
      </c>
      <c r="F405" s="111" t="s">
        <v>764</v>
      </c>
      <c r="G405" s="112" t="s">
        <v>101</v>
      </c>
      <c r="H405" s="78">
        <f>'Пр. 11'!I1117</f>
        <v>0</v>
      </c>
      <c r="I405" s="78">
        <f>'Пр. 11'!J1117</f>
        <v>0</v>
      </c>
      <c r="J405" s="113">
        <f t="shared" si="25"/>
        <v>0</v>
      </c>
      <c r="K405" s="78">
        <f>'Пр. 11'!L1117</f>
        <v>0</v>
      </c>
      <c r="L405" s="78">
        <f>'Пр. 11'!M1117</f>
        <v>0</v>
      </c>
    </row>
    <row r="406" spans="1:12" s="5" customFormat="1" ht="24.75" customHeight="1">
      <c r="A406" s="114" t="s">
        <v>283</v>
      </c>
      <c r="B406" s="111" t="s">
        <v>232</v>
      </c>
      <c r="C406" s="111" t="s">
        <v>142</v>
      </c>
      <c r="D406" s="111" t="s">
        <v>153</v>
      </c>
      <c r="E406" s="111" t="s">
        <v>284</v>
      </c>
      <c r="F406" s="111"/>
      <c r="G406" s="112"/>
      <c r="H406" s="78">
        <f>H407</f>
        <v>1830</v>
      </c>
      <c r="I406" s="78">
        <f>I407</f>
        <v>1830</v>
      </c>
      <c r="J406" s="113">
        <f t="shared" si="25"/>
        <v>0</v>
      </c>
      <c r="K406" s="78">
        <f>K407</f>
        <v>1400</v>
      </c>
      <c r="L406" s="78">
        <f>L407</f>
        <v>900</v>
      </c>
    </row>
    <row r="407" spans="1:12" s="5" customFormat="1" ht="33.75" customHeight="1">
      <c r="A407" s="114" t="s">
        <v>763</v>
      </c>
      <c r="B407" s="111" t="s">
        <v>232</v>
      </c>
      <c r="C407" s="111" t="s">
        <v>142</v>
      </c>
      <c r="D407" s="111" t="s">
        <v>153</v>
      </c>
      <c r="E407" s="111" t="s">
        <v>284</v>
      </c>
      <c r="F407" s="111" t="s">
        <v>764</v>
      </c>
      <c r="G407" s="112"/>
      <c r="H407" s="78">
        <f>H408</f>
        <v>1830</v>
      </c>
      <c r="I407" s="78">
        <f>I408</f>
        <v>1830</v>
      </c>
      <c r="J407" s="113">
        <f t="shared" si="25"/>
        <v>0</v>
      </c>
      <c r="K407" s="78">
        <f>K408</f>
        <v>1400</v>
      </c>
      <c r="L407" s="78">
        <f>L408</f>
        <v>900</v>
      </c>
    </row>
    <row r="408" spans="1:12" s="5" customFormat="1" ht="17.25" customHeight="1">
      <c r="A408" s="22" t="s">
        <v>98</v>
      </c>
      <c r="B408" s="111" t="s">
        <v>232</v>
      </c>
      <c r="C408" s="111" t="s">
        <v>142</v>
      </c>
      <c r="D408" s="111" t="s">
        <v>153</v>
      </c>
      <c r="E408" s="111" t="s">
        <v>284</v>
      </c>
      <c r="F408" s="111" t="s">
        <v>764</v>
      </c>
      <c r="G408" s="112" t="s">
        <v>99</v>
      </c>
      <c r="H408" s="78">
        <f>'Пр. 11'!I1090</f>
        <v>1830</v>
      </c>
      <c r="I408" s="78">
        <f>'Пр. 11'!J1090</f>
        <v>1830</v>
      </c>
      <c r="J408" s="113">
        <f t="shared" si="25"/>
        <v>0</v>
      </c>
      <c r="K408" s="78">
        <f>'Пр. 11'!L1090</f>
        <v>1400</v>
      </c>
      <c r="L408" s="78">
        <f>'Пр. 11'!M1090</f>
        <v>900</v>
      </c>
    </row>
    <row r="409" spans="1:12" s="5" customFormat="1" ht="17.25" customHeight="1" hidden="1">
      <c r="A409" s="114" t="s">
        <v>100</v>
      </c>
      <c r="B409" s="111" t="s">
        <v>232</v>
      </c>
      <c r="C409" s="111" t="s">
        <v>142</v>
      </c>
      <c r="D409" s="111" t="s">
        <v>153</v>
      </c>
      <c r="E409" s="111" t="s">
        <v>284</v>
      </c>
      <c r="F409" s="111" t="s">
        <v>764</v>
      </c>
      <c r="G409" s="112" t="s">
        <v>101</v>
      </c>
      <c r="H409" s="78">
        <f>'Пр. 11'!I1119</f>
        <v>0</v>
      </c>
      <c r="I409" s="78">
        <f>'Пр. 11'!J1119</f>
        <v>0</v>
      </c>
      <c r="J409" s="113">
        <f t="shared" si="25"/>
        <v>0</v>
      </c>
      <c r="K409" s="78">
        <f>'Пр. 11'!L1119</f>
        <v>0</v>
      </c>
      <c r="L409" s="78">
        <f>'Пр. 11'!M1119</f>
        <v>0</v>
      </c>
    </row>
    <row r="410" spans="1:12" s="5" customFormat="1" ht="32.25" customHeight="1">
      <c r="A410" s="114" t="s">
        <v>285</v>
      </c>
      <c r="B410" s="111" t="s">
        <v>232</v>
      </c>
      <c r="C410" s="111" t="s">
        <v>142</v>
      </c>
      <c r="D410" s="111" t="s">
        <v>153</v>
      </c>
      <c r="E410" s="111" t="s">
        <v>286</v>
      </c>
      <c r="F410" s="111"/>
      <c r="G410" s="112"/>
      <c r="H410" s="78">
        <f>H411</f>
        <v>270</v>
      </c>
      <c r="I410" s="78">
        <f>I411</f>
        <v>270</v>
      </c>
      <c r="J410" s="113">
        <f t="shared" si="25"/>
        <v>0</v>
      </c>
      <c r="K410" s="78">
        <f>K411</f>
        <v>500</v>
      </c>
      <c r="L410" s="78">
        <f>L411</f>
        <v>500</v>
      </c>
    </row>
    <row r="411" spans="1:12" s="5" customFormat="1" ht="33.75" customHeight="1">
      <c r="A411" s="22" t="s">
        <v>763</v>
      </c>
      <c r="B411" s="111" t="s">
        <v>232</v>
      </c>
      <c r="C411" s="111" t="s">
        <v>142</v>
      </c>
      <c r="D411" s="111" t="s">
        <v>153</v>
      </c>
      <c r="E411" s="111" t="s">
        <v>286</v>
      </c>
      <c r="F411" s="111" t="s">
        <v>764</v>
      </c>
      <c r="G411" s="112"/>
      <c r="H411" s="78">
        <f>H412</f>
        <v>270</v>
      </c>
      <c r="I411" s="78">
        <f>I412</f>
        <v>270</v>
      </c>
      <c r="J411" s="113">
        <f t="shared" si="25"/>
        <v>0</v>
      </c>
      <c r="K411" s="78">
        <f>K412</f>
        <v>500</v>
      </c>
      <c r="L411" s="78">
        <f>L412</f>
        <v>500</v>
      </c>
    </row>
    <row r="412" spans="1:12" s="5" customFormat="1" ht="17.25" customHeight="1">
      <c r="A412" s="22" t="s">
        <v>98</v>
      </c>
      <c r="B412" s="111" t="s">
        <v>232</v>
      </c>
      <c r="C412" s="111" t="s">
        <v>142</v>
      </c>
      <c r="D412" s="111" t="s">
        <v>153</v>
      </c>
      <c r="E412" s="111" t="s">
        <v>286</v>
      </c>
      <c r="F412" s="111" t="s">
        <v>764</v>
      </c>
      <c r="G412" s="112" t="s">
        <v>99</v>
      </c>
      <c r="H412" s="78">
        <f>'Пр. 11'!I1092</f>
        <v>270</v>
      </c>
      <c r="I412" s="78">
        <f>'Пр. 11'!J1092</f>
        <v>270</v>
      </c>
      <c r="J412" s="113">
        <f t="shared" si="25"/>
        <v>0</v>
      </c>
      <c r="K412" s="78">
        <f>'Пр. 11'!L1092</f>
        <v>500</v>
      </c>
      <c r="L412" s="78">
        <f>'Пр. 11'!M1092</f>
        <v>500</v>
      </c>
    </row>
    <row r="413" spans="1:12" s="5" customFormat="1" ht="17.25" customHeight="1" hidden="1">
      <c r="A413" s="114" t="s">
        <v>100</v>
      </c>
      <c r="B413" s="111" t="s">
        <v>232</v>
      </c>
      <c r="C413" s="111" t="s">
        <v>142</v>
      </c>
      <c r="D413" s="111" t="s">
        <v>153</v>
      </c>
      <c r="E413" s="111" t="s">
        <v>286</v>
      </c>
      <c r="F413" s="111" t="s">
        <v>764</v>
      </c>
      <c r="G413" s="112" t="s">
        <v>101</v>
      </c>
      <c r="H413" s="78">
        <f>'Пр. 11'!I1121</f>
        <v>0</v>
      </c>
      <c r="I413" s="78">
        <f>'Пр. 11'!J1121</f>
        <v>0</v>
      </c>
      <c r="J413" s="113">
        <f t="shared" si="25"/>
        <v>0</v>
      </c>
      <c r="K413" s="78">
        <f>'Пр. 11'!L1121</f>
        <v>0</v>
      </c>
      <c r="L413" s="78">
        <f>'Пр. 11'!M1121</f>
        <v>0</v>
      </c>
    </row>
    <row r="414" spans="1:12" s="5" customFormat="1" ht="17.25" customHeight="1">
      <c r="A414" s="114" t="s">
        <v>287</v>
      </c>
      <c r="B414" s="111" t="s">
        <v>232</v>
      </c>
      <c r="C414" s="111" t="s">
        <v>142</v>
      </c>
      <c r="D414" s="111" t="s">
        <v>153</v>
      </c>
      <c r="E414" s="112" t="s">
        <v>1018</v>
      </c>
      <c r="F414" s="111"/>
      <c r="G414" s="112"/>
      <c r="H414" s="78">
        <f>H415</f>
        <v>18</v>
      </c>
      <c r="I414" s="78">
        <f>I415</f>
        <v>18</v>
      </c>
      <c r="J414" s="113">
        <f t="shared" si="25"/>
        <v>0</v>
      </c>
      <c r="K414" s="78">
        <f>K415</f>
        <v>16.2</v>
      </c>
      <c r="L414" s="78">
        <f>L415</f>
        <v>16.2</v>
      </c>
    </row>
    <row r="415" spans="1:12" s="5" customFormat="1" ht="33.75" customHeight="1">
      <c r="A415" s="22" t="s">
        <v>763</v>
      </c>
      <c r="B415" s="111" t="s">
        <v>232</v>
      </c>
      <c r="C415" s="111" t="s">
        <v>142</v>
      </c>
      <c r="D415" s="111" t="s">
        <v>153</v>
      </c>
      <c r="E415" s="112" t="s">
        <v>1018</v>
      </c>
      <c r="F415" s="111" t="s">
        <v>764</v>
      </c>
      <c r="G415" s="112"/>
      <c r="H415" s="78">
        <f>H416</f>
        <v>18</v>
      </c>
      <c r="I415" s="78">
        <f>I416</f>
        <v>18</v>
      </c>
      <c r="J415" s="113">
        <f t="shared" si="25"/>
        <v>0</v>
      </c>
      <c r="K415" s="78">
        <f>K416</f>
        <v>16.2</v>
      </c>
      <c r="L415" s="78">
        <f>L416</f>
        <v>16.2</v>
      </c>
    </row>
    <row r="416" spans="1:12" s="5" customFormat="1" ht="17.25" customHeight="1">
      <c r="A416" s="22" t="s">
        <v>98</v>
      </c>
      <c r="B416" s="111" t="s">
        <v>232</v>
      </c>
      <c r="C416" s="111" t="s">
        <v>142</v>
      </c>
      <c r="D416" s="111" t="s">
        <v>153</v>
      </c>
      <c r="E416" s="112" t="s">
        <v>1018</v>
      </c>
      <c r="F416" s="111" t="s">
        <v>764</v>
      </c>
      <c r="G416" s="112" t="s">
        <v>99</v>
      </c>
      <c r="H416" s="78">
        <f>'Пр. 11'!I1094</f>
        <v>18</v>
      </c>
      <c r="I416" s="78">
        <f>'Пр. 11'!J1094</f>
        <v>18</v>
      </c>
      <c r="J416" s="113">
        <f t="shared" si="25"/>
        <v>0</v>
      </c>
      <c r="K416" s="78">
        <f>'Пр. 11'!L1094</f>
        <v>16.2</v>
      </c>
      <c r="L416" s="78">
        <f>'Пр. 11'!M1094</f>
        <v>16.2</v>
      </c>
    </row>
    <row r="417" spans="1:12" s="5" customFormat="1" ht="30.75" customHeight="1">
      <c r="A417" s="22" t="s">
        <v>785</v>
      </c>
      <c r="B417" s="111" t="s">
        <v>232</v>
      </c>
      <c r="C417" s="111" t="s">
        <v>142</v>
      </c>
      <c r="D417" s="111" t="s">
        <v>153</v>
      </c>
      <c r="E417" s="112" t="s">
        <v>1019</v>
      </c>
      <c r="F417" s="111"/>
      <c r="G417" s="112"/>
      <c r="H417" s="78">
        <f>H418</f>
        <v>7560.6</v>
      </c>
      <c r="I417" s="78">
        <f>I418</f>
        <v>7560.6</v>
      </c>
      <c r="J417" s="113">
        <f t="shared" si="25"/>
        <v>0</v>
      </c>
      <c r="K417" s="78">
        <f>K418</f>
        <v>6804.5</v>
      </c>
      <c r="L417" s="78">
        <f>L418</f>
        <v>6804.5</v>
      </c>
    </row>
    <row r="418" spans="1:12" s="5" customFormat="1" ht="34.5" customHeight="1">
      <c r="A418" s="22" t="s">
        <v>763</v>
      </c>
      <c r="B418" s="111" t="s">
        <v>232</v>
      </c>
      <c r="C418" s="111" t="s">
        <v>142</v>
      </c>
      <c r="D418" s="111" t="s">
        <v>153</v>
      </c>
      <c r="E418" s="112" t="s">
        <v>1019</v>
      </c>
      <c r="F418" s="111" t="s">
        <v>764</v>
      </c>
      <c r="G418" s="112"/>
      <c r="H418" s="78">
        <f>H419</f>
        <v>7560.6</v>
      </c>
      <c r="I418" s="78">
        <f>I419</f>
        <v>7560.6</v>
      </c>
      <c r="J418" s="113">
        <f t="shared" si="25"/>
        <v>0</v>
      </c>
      <c r="K418" s="78">
        <f>K419</f>
        <v>6804.5</v>
      </c>
      <c r="L418" s="78">
        <f>L419</f>
        <v>6804.5</v>
      </c>
    </row>
    <row r="419" spans="1:12" s="5" customFormat="1" ht="19.5" customHeight="1">
      <c r="A419" s="22" t="s">
        <v>98</v>
      </c>
      <c r="B419" s="111" t="s">
        <v>232</v>
      </c>
      <c r="C419" s="111" t="s">
        <v>142</v>
      </c>
      <c r="D419" s="111" t="s">
        <v>153</v>
      </c>
      <c r="E419" s="112" t="s">
        <v>1019</v>
      </c>
      <c r="F419" s="111" t="s">
        <v>764</v>
      </c>
      <c r="G419" s="112" t="s">
        <v>99</v>
      </c>
      <c r="H419" s="78">
        <f>'Пр. 11'!I1096</f>
        <v>7560.6</v>
      </c>
      <c r="I419" s="78">
        <f>'Пр. 11'!J1096</f>
        <v>7560.6</v>
      </c>
      <c r="J419" s="113">
        <f t="shared" si="25"/>
        <v>0</v>
      </c>
      <c r="K419" s="78">
        <f>'Пр. 11'!L1096</f>
        <v>6804.5</v>
      </c>
      <c r="L419" s="78">
        <f>'Пр. 11'!M1096</f>
        <v>6804.5</v>
      </c>
    </row>
    <row r="420" spans="1:12" s="9" customFormat="1" ht="51" customHeight="1">
      <c r="A420" s="109" t="s">
        <v>288</v>
      </c>
      <c r="B420" s="71" t="s">
        <v>232</v>
      </c>
      <c r="C420" s="71" t="s">
        <v>259</v>
      </c>
      <c r="D420" s="71" t="s">
        <v>155</v>
      </c>
      <c r="E420" s="71" t="s">
        <v>156</v>
      </c>
      <c r="F420" s="71"/>
      <c r="G420" s="107"/>
      <c r="H420" s="37">
        <f>H421</f>
        <v>500</v>
      </c>
      <c r="I420" s="37">
        <f>I421</f>
        <v>500</v>
      </c>
      <c r="J420" s="108">
        <f t="shared" si="25"/>
        <v>0</v>
      </c>
      <c r="K420" s="37">
        <f>K421</f>
        <v>1000</v>
      </c>
      <c r="L420" s="37">
        <f>L421</f>
        <v>1000</v>
      </c>
    </row>
    <row r="421" spans="1:12" s="5" customFormat="1" ht="34.5" customHeight="1">
      <c r="A421" s="128" t="s">
        <v>290</v>
      </c>
      <c r="B421" s="107" t="s">
        <v>232</v>
      </c>
      <c r="C421" s="105">
        <v>6</v>
      </c>
      <c r="D421" s="107" t="s">
        <v>153</v>
      </c>
      <c r="E421" s="107" t="s">
        <v>156</v>
      </c>
      <c r="F421" s="71"/>
      <c r="G421" s="107"/>
      <c r="H421" s="37">
        <f>H422+H427</f>
        <v>500</v>
      </c>
      <c r="I421" s="37">
        <f>I422+I427</f>
        <v>500</v>
      </c>
      <c r="J421" s="108">
        <f t="shared" si="25"/>
        <v>0</v>
      </c>
      <c r="K421" s="37">
        <f>K422+K427</f>
        <v>1000</v>
      </c>
      <c r="L421" s="37">
        <f>L422+L427</f>
        <v>1000</v>
      </c>
    </row>
    <row r="422" spans="1:12" s="5" customFormat="1" ht="20.25" customHeight="1">
      <c r="A422" s="114" t="s">
        <v>291</v>
      </c>
      <c r="B422" s="112" t="s">
        <v>232</v>
      </c>
      <c r="C422" s="129">
        <v>6</v>
      </c>
      <c r="D422" s="112" t="s">
        <v>153</v>
      </c>
      <c r="E422" s="112" t="s">
        <v>292</v>
      </c>
      <c r="F422" s="111"/>
      <c r="G422" s="112"/>
      <c r="H422" s="78">
        <f>H423+H425</f>
        <v>300</v>
      </c>
      <c r="I422" s="78">
        <f>I423+I425</f>
        <v>300</v>
      </c>
      <c r="J422" s="113">
        <f t="shared" si="25"/>
        <v>0</v>
      </c>
      <c r="K422" s="78">
        <f>K423+K425</f>
        <v>750</v>
      </c>
      <c r="L422" s="78">
        <f>L423+L425</f>
        <v>650</v>
      </c>
    </row>
    <row r="423" spans="1:12" s="5" customFormat="1" ht="39" customHeight="1" hidden="1">
      <c r="A423" s="114" t="s">
        <v>758</v>
      </c>
      <c r="B423" s="112" t="s">
        <v>232</v>
      </c>
      <c r="C423" s="129">
        <v>6</v>
      </c>
      <c r="D423" s="112" t="s">
        <v>153</v>
      </c>
      <c r="E423" s="112" t="s">
        <v>292</v>
      </c>
      <c r="F423" s="111" t="s">
        <v>757</v>
      </c>
      <c r="G423" s="112"/>
      <c r="H423" s="78">
        <f>H424</f>
        <v>0</v>
      </c>
      <c r="I423" s="78">
        <f>I424</f>
        <v>0</v>
      </c>
      <c r="J423" s="113">
        <f t="shared" si="25"/>
        <v>0</v>
      </c>
      <c r="K423" s="78">
        <f>K424</f>
        <v>0</v>
      </c>
      <c r="L423" s="78">
        <f>L424</f>
        <v>0</v>
      </c>
    </row>
    <row r="424" spans="1:12" s="5" customFormat="1" ht="17.25" customHeight="1" hidden="1">
      <c r="A424" s="114" t="s">
        <v>100</v>
      </c>
      <c r="B424" s="112" t="s">
        <v>232</v>
      </c>
      <c r="C424" s="129">
        <v>6</v>
      </c>
      <c r="D424" s="112" t="s">
        <v>153</v>
      </c>
      <c r="E424" s="112" t="s">
        <v>292</v>
      </c>
      <c r="F424" s="111" t="s">
        <v>757</v>
      </c>
      <c r="G424" s="112" t="s">
        <v>101</v>
      </c>
      <c r="H424" s="78">
        <f>'Пр. 11'!I1125</f>
        <v>0</v>
      </c>
      <c r="I424" s="78">
        <f>'Пр. 11'!J1125</f>
        <v>0</v>
      </c>
      <c r="J424" s="113">
        <f t="shared" si="25"/>
        <v>0</v>
      </c>
      <c r="K424" s="78">
        <f>'Пр. 11'!L1125</f>
        <v>0</v>
      </c>
      <c r="L424" s="78">
        <f>'Пр. 11'!M1125</f>
        <v>0</v>
      </c>
    </row>
    <row r="425" spans="1:12" s="5" customFormat="1" ht="33" customHeight="1">
      <c r="A425" s="22" t="s">
        <v>763</v>
      </c>
      <c r="B425" s="112" t="s">
        <v>232</v>
      </c>
      <c r="C425" s="129">
        <v>6</v>
      </c>
      <c r="D425" s="112" t="s">
        <v>153</v>
      </c>
      <c r="E425" s="112" t="s">
        <v>292</v>
      </c>
      <c r="F425" s="111" t="s">
        <v>764</v>
      </c>
      <c r="G425" s="112"/>
      <c r="H425" s="78">
        <f>H426</f>
        <v>300</v>
      </c>
      <c r="I425" s="78">
        <f>I426</f>
        <v>300</v>
      </c>
      <c r="J425" s="113">
        <f t="shared" si="25"/>
        <v>0</v>
      </c>
      <c r="K425" s="78">
        <f>K426</f>
        <v>750</v>
      </c>
      <c r="L425" s="78">
        <f>L426</f>
        <v>650</v>
      </c>
    </row>
    <row r="426" spans="1:12" s="5" customFormat="1" ht="17.25" customHeight="1">
      <c r="A426" s="114" t="s">
        <v>100</v>
      </c>
      <c r="B426" s="112" t="s">
        <v>232</v>
      </c>
      <c r="C426" s="129">
        <v>6</v>
      </c>
      <c r="D426" s="112" t="s">
        <v>153</v>
      </c>
      <c r="E426" s="112" t="s">
        <v>292</v>
      </c>
      <c r="F426" s="111" t="s">
        <v>764</v>
      </c>
      <c r="G426" s="112" t="s">
        <v>101</v>
      </c>
      <c r="H426" s="78">
        <f>'Пр. 11'!I1126</f>
        <v>300</v>
      </c>
      <c r="I426" s="78">
        <f>'Пр. 11'!J1126</f>
        <v>300</v>
      </c>
      <c r="J426" s="113">
        <f t="shared" si="25"/>
        <v>0</v>
      </c>
      <c r="K426" s="78">
        <f>'Пр. 11'!L1126</f>
        <v>750</v>
      </c>
      <c r="L426" s="78">
        <f>'Пр. 11'!M1126</f>
        <v>650</v>
      </c>
    </row>
    <row r="427" spans="1:12" s="5" customFormat="1" ht="35.25" customHeight="1">
      <c r="A427" s="121" t="s">
        <v>1021</v>
      </c>
      <c r="B427" s="112" t="s">
        <v>232</v>
      </c>
      <c r="C427" s="112" t="s">
        <v>259</v>
      </c>
      <c r="D427" s="111" t="s">
        <v>153</v>
      </c>
      <c r="E427" s="112" t="s">
        <v>1010</v>
      </c>
      <c r="F427" s="111"/>
      <c r="G427" s="112"/>
      <c r="H427" s="78">
        <f>H430+H428</f>
        <v>200</v>
      </c>
      <c r="I427" s="78">
        <f>I430+I428</f>
        <v>200</v>
      </c>
      <c r="J427" s="113">
        <f t="shared" si="25"/>
        <v>0</v>
      </c>
      <c r="K427" s="78">
        <f>K430+K428</f>
        <v>250</v>
      </c>
      <c r="L427" s="78">
        <f>L430+L428</f>
        <v>350</v>
      </c>
    </row>
    <row r="428" spans="1:12" s="5" customFormat="1" ht="36" customHeight="1">
      <c r="A428" s="376" t="s">
        <v>758</v>
      </c>
      <c r="B428" s="112" t="s">
        <v>232</v>
      </c>
      <c r="C428" s="112" t="s">
        <v>259</v>
      </c>
      <c r="D428" s="111" t="s">
        <v>153</v>
      </c>
      <c r="E428" s="112" t="s">
        <v>1010</v>
      </c>
      <c r="F428" s="111" t="s">
        <v>757</v>
      </c>
      <c r="G428" s="112"/>
      <c r="H428" s="78">
        <f>H429</f>
        <v>200</v>
      </c>
      <c r="I428" s="78">
        <f>I429</f>
        <v>200</v>
      </c>
      <c r="J428" s="113">
        <f t="shared" si="25"/>
        <v>0</v>
      </c>
      <c r="K428" s="78">
        <f>K429</f>
        <v>0</v>
      </c>
      <c r="L428" s="78">
        <f>L429</f>
        <v>0</v>
      </c>
    </row>
    <row r="429" spans="1:12" s="5" customFormat="1" ht="21" customHeight="1">
      <c r="A429" s="114" t="s">
        <v>100</v>
      </c>
      <c r="B429" s="112" t="s">
        <v>232</v>
      </c>
      <c r="C429" s="112" t="s">
        <v>259</v>
      </c>
      <c r="D429" s="111" t="s">
        <v>153</v>
      </c>
      <c r="E429" s="112" t="s">
        <v>1010</v>
      </c>
      <c r="F429" s="111" t="s">
        <v>757</v>
      </c>
      <c r="G429" s="112" t="s">
        <v>101</v>
      </c>
      <c r="H429" s="78">
        <f>'Пр. 11'!I1128</f>
        <v>200</v>
      </c>
      <c r="I429" s="78">
        <f>'Пр. 11'!J1128</f>
        <v>200</v>
      </c>
      <c r="J429" s="113">
        <f t="shared" si="25"/>
        <v>0</v>
      </c>
      <c r="K429" s="78">
        <f>'Пр. 11'!L1128</f>
        <v>0</v>
      </c>
      <c r="L429" s="78">
        <f>'Пр. 11'!M1128</f>
        <v>0</v>
      </c>
    </row>
    <row r="430" spans="1:12" s="5" customFormat="1" ht="31.5" customHeight="1">
      <c r="A430" s="121" t="s">
        <v>763</v>
      </c>
      <c r="B430" s="112" t="s">
        <v>232</v>
      </c>
      <c r="C430" s="112" t="s">
        <v>259</v>
      </c>
      <c r="D430" s="111" t="s">
        <v>153</v>
      </c>
      <c r="E430" s="112" t="s">
        <v>1010</v>
      </c>
      <c r="F430" s="111" t="s">
        <v>764</v>
      </c>
      <c r="G430" s="112"/>
      <c r="H430" s="78">
        <f>H431</f>
        <v>0</v>
      </c>
      <c r="I430" s="78">
        <f>I431</f>
        <v>0</v>
      </c>
      <c r="J430" s="113">
        <f t="shared" si="25"/>
        <v>0</v>
      </c>
      <c r="K430" s="78">
        <f>K431</f>
        <v>250</v>
      </c>
      <c r="L430" s="78">
        <f>L431</f>
        <v>350</v>
      </c>
    </row>
    <row r="431" spans="1:12" s="5" customFormat="1" ht="18" customHeight="1">
      <c r="A431" s="114" t="s">
        <v>100</v>
      </c>
      <c r="B431" s="112" t="s">
        <v>232</v>
      </c>
      <c r="C431" s="112" t="s">
        <v>259</v>
      </c>
      <c r="D431" s="111" t="s">
        <v>153</v>
      </c>
      <c r="E431" s="112" t="s">
        <v>1010</v>
      </c>
      <c r="F431" s="111" t="s">
        <v>764</v>
      </c>
      <c r="G431" s="112" t="s">
        <v>101</v>
      </c>
      <c r="H431" s="78">
        <f>'Пр. 11'!I1129</f>
        <v>0</v>
      </c>
      <c r="I431" s="78">
        <f>'Пр. 11'!J1129</f>
        <v>0</v>
      </c>
      <c r="J431" s="113">
        <f t="shared" si="25"/>
        <v>0</v>
      </c>
      <c r="K431" s="78">
        <f>'Пр. 11'!L1129</f>
        <v>250</v>
      </c>
      <c r="L431" s="78">
        <f>'Пр. 11'!M1129</f>
        <v>350</v>
      </c>
    </row>
    <row r="432" spans="1:12" s="5" customFormat="1" ht="36" customHeight="1">
      <c r="A432" s="136" t="s">
        <v>805</v>
      </c>
      <c r="B432" s="71" t="s">
        <v>232</v>
      </c>
      <c r="C432" s="71" t="s">
        <v>289</v>
      </c>
      <c r="D432" s="71" t="s">
        <v>155</v>
      </c>
      <c r="E432" s="71" t="s">
        <v>156</v>
      </c>
      <c r="F432" s="71"/>
      <c r="G432" s="107"/>
      <c r="H432" s="37">
        <f>H433</f>
        <v>63341.59999999999</v>
      </c>
      <c r="I432" s="37">
        <f>I433</f>
        <v>63341.59999999999</v>
      </c>
      <c r="J432" s="108">
        <f t="shared" si="25"/>
        <v>0</v>
      </c>
      <c r="K432" s="37">
        <f>K433</f>
        <v>60618.2</v>
      </c>
      <c r="L432" s="37">
        <f>L433</f>
        <v>60644</v>
      </c>
    </row>
    <row r="433" spans="1:12" s="5" customFormat="1" ht="33" customHeight="1">
      <c r="A433" s="137" t="s">
        <v>783</v>
      </c>
      <c r="B433" s="71" t="s">
        <v>232</v>
      </c>
      <c r="C433" s="71" t="s">
        <v>289</v>
      </c>
      <c r="D433" s="71" t="s">
        <v>153</v>
      </c>
      <c r="E433" s="71" t="s">
        <v>156</v>
      </c>
      <c r="F433" s="71"/>
      <c r="G433" s="107"/>
      <c r="H433" s="37">
        <f>H440+H446+H449+H454+H457+H460+H434+H437+H443</f>
        <v>63341.59999999999</v>
      </c>
      <c r="I433" s="37">
        <f>I440+I446+I449+I454+I457+I460+I434+I437+I443</f>
        <v>63341.59999999999</v>
      </c>
      <c r="J433" s="108">
        <f t="shared" si="25"/>
        <v>0</v>
      </c>
      <c r="K433" s="37">
        <f>K440+K446+K449+K454+K457+K460+K434+K437+K443</f>
        <v>60618.2</v>
      </c>
      <c r="L433" s="37">
        <f>L440+L446+L449+L454+L457+L460+L434+L437+L443</f>
        <v>60644</v>
      </c>
    </row>
    <row r="434" spans="1:12" s="5" customFormat="1" ht="36" customHeight="1">
      <c r="A434" s="123" t="s">
        <v>324</v>
      </c>
      <c r="B434" s="111" t="s">
        <v>232</v>
      </c>
      <c r="C434" s="111" t="s">
        <v>289</v>
      </c>
      <c r="D434" s="111" t="s">
        <v>153</v>
      </c>
      <c r="E434" s="111" t="s">
        <v>325</v>
      </c>
      <c r="F434" s="111"/>
      <c r="G434" s="112"/>
      <c r="H434" s="78">
        <f>H435</f>
        <v>832.8</v>
      </c>
      <c r="I434" s="78">
        <f>I435</f>
        <v>832.8</v>
      </c>
      <c r="J434" s="113">
        <f t="shared" si="25"/>
        <v>0</v>
      </c>
      <c r="K434" s="78">
        <f>K435</f>
        <v>864.8000000000001</v>
      </c>
      <c r="L434" s="78">
        <f>L435</f>
        <v>890.6</v>
      </c>
    </row>
    <row r="435" spans="1:12" s="5" customFormat="1" ht="18.75" customHeight="1">
      <c r="A435" s="123" t="s">
        <v>762</v>
      </c>
      <c r="B435" s="111" t="s">
        <v>232</v>
      </c>
      <c r="C435" s="111" t="s">
        <v>289</v>
      </c>
      <c r="D435" s="111" t="s">
        <v>153</v>
      </c>
      <c r="E435" s="111" t="s">
        <v>325</v>
      </c>
      <c r="F435" s="111" t="s">
        <v>761</v>
      </c>
      <c r="G435" s="112"/>
      <c r="H435" s="78">
        <f>H436</f>
        <v>832.8</v>
      </c>
      <c r="I435" s="78">
        <f>I436</f>
        <v>832.8</v>
      </c>
      <c r="J435" s="113">
        <f t="shared" si="25"/>
        <v>0</v>
      </c>
      <c r="K435" s="78">
        <f>K436</f>
        <v>864.8000000000001</v>
      </c>
      <c r="L435" s="78">
        <f>L436</f>
        <v>890.6</v>
      </c>
    </row>
    <row r="436" spans="1:12" s="5" customFormat="1" ht="22.5" customHeight="1">
      <c r="A436" s="93" t="s">
        <v>114</v>
      </c>
      <c r="B436" s="111" t="s">
        <v>232</v>
      </c>
      <c r="C436" s="111" t="s">
        <v>289</v>
      </c>
      <c r="D436" s="111" t="s">
        <v>153</v>
      </c>
      <c r="E436" s="111" t="s">
        <v>325</v>
      </c>
      <c r="F436" s="111" t="s">
        <v>761</v>
      </c>
      <c r="G436" s="112" t="s">
        <v>115</v>
      </c>
      <c r="H436" s="78">
        <f>'Пр. 11'!I460</f>
        <v>832.8</v>
      </c>
      <c r="I436" s="78">
        <f>'Пр. 11'!J460</f>
        <v>832.8</v>
      </c>
      <c r="J436" s="113">
        <f t="shared" si="25"/>
        <v>0</v>
      </c>
      <c r="K436" s="78">
        <f>'Пр. 11'!L460</f>
        <v>864.8000000000001</v>
      </c>
      <c r="L436" s="78">
        <f>'Пр. 11'!M460</f>
        <v>890.6</v>
      </c>
    </row>
    <row r="437" spans="1:12" s="5" customFormat="1" ht="30" customHeight="1">
      <c r="A437" s="123" t="s">
        <v>312</v>
      </c>
      <c r="B437" s="111" t="s">
        <v>232</v>
      </c>
      <c r="C437" s="111" t="s">
        <v>289</v>
      </c>
      <c r="D437" s="111" t="s">
        <v>153</v>
      </c>
      <c r="E437" s="111" t="s">
        <v>502</v>
      </c>
      <c r="F437" s="111"/>
      <c r="G437" s="112"/>
      <c r="H437" s="78">
        <f>H438</f>
        <v>18473.1</v>
      </c>
      <c r="I437" s="78">
        <f>I438</f>
        <v>18473.1</v>
      </c>
      <c r="J437" s="113">
        <f t="shared" si="25"/>
        <v>0</v>
      </c>
      <c r="K437" s="78">
        <f>K438</f>
        <v>17804.6</v>
      </c>
      <c r="L437" s="78">
        <f>L438</f>
        <v>17804.6</v>
      </c>
    </row>
    <row r="438" spans="1:12" s="5" customFormat="1" ht="21.75" customHeight="1">
      <c r="A438" s="123" t="s">
        <v>762</v>
      </c>
      <c r="B438" s="111" t="s">
        <v>232</v>
      </c>
      <c r="C438" s="111" t="s">
        <v>289</v>
      </c>
      <c r="D438" s="111" t="s">
        <v>153</v>
      </c>
      <c r="E438" s="111" t="s">
        <v>502</v>
      </c>
      <c r="F438" s="111" t="s">
        <v>761</v>
      </c>
      <c r="G438" s="112"/>
      <c r="H438" s="78">
        <f>H439</f>
        <v>18473.1</v>
      </c>
      <c r="I438" s="78">
        <f>I439</f>
        <v>18473.1</v>
      </c>
      <c r="J438" s="113">
        <f t="shared" si="25"/>
        <v>0</v>
      </c>
      <c r="K438" s="78">
        <f>K439</f>
        <v>17804.6</v>
      </c>
      <c r="L438" s="78">
        <f>L439</f>
        <v>17804.6</v>
      </c>
    </row>
    <row r="439" spans="1:12" s="5" customFormat="1" ht="17.25" customHeight="1">
      <c r="A439" s="93" t="s">
        <v>114</v>
      </c>
      <c r="B439" s="111" t="s">
        <v>232</v>
      </c>
      <c r="C439" s="111" t="s">
        <v>289</v>
      </c>
      <c r="D439" s="111" t="s">
        <v>153</v>
      </c>
      <c r="E439" s="111" t="s">
        <v>502</v>
      </c>
      <c r="F439" s="111" t="s">
        <v>761</v>
      </c>
      <c r="G439" s="112" t="s">
        <v>115</v>
      </c>
      <c r="H439" s="78">
        <f>'Пр. 11'!I462</f>
        <v>18473.1</v>
      </c>
      <c r="I439" s="78">
        <f>'Пр. 11'!J462</f>
        <v>18473.1</v>
      </c>
      <c r="J439" s="113">
        <f t="shared" si="25"/>
        <v>0</v>
      </c>
      <c r="K439" s="78">
        <f>'Пр. 11'!L462</f>
        <v>17804.6</v>
      </c>
      <c r="L439" s="78">
        <f>'Пр. 11'!M462</f>
        <v>17804.6</v>
      </c>
    </row>
    <row r="440" spans="1:12" s="5" customFormat="1" ht="40.5" customHeight="1">
      <c r="A440" s="123" t="s">
        <v>313</v>
      </c>
      <c r="B440" s="111" t="s">
        <v>232</v>
      </c>
      <c r="C440" s="111" t="s">
        <v>289</v>
      </c>
      <c r="D440" s="111" t="s">
        <v>153</v>
      </c>
      <c r="E440" s="111" t="s">
        <v>500</v>
      </c>
      <c r="F440" s="111"/>
      <c r="G440" s="112"/>
      <c r="H440" s="78">
        <f>H441</f>
        <v>1689.9</v>
      </c>
      <c r="I440" s="78">
        <f>I441</f>
        <v>1689.9</v>
      </c>
      <c r="J440" s="113">
        <f t="shared" si="25"/>
        <v>0</v>
      </c>
      <c r="K440" s="78">
        <f>K441</f>
        <v>1689.9</v>
      </c>
      <c r="L440" s="78">
        <f>L441</f>
        <v>1689.9</v>
      </c>
    </row>
    <row r="441" spans="1:12" s="5" customFormat="1" ht="36.75" customHeight="1">
      <c r="A441" s="123" t="s">
        <v>758</v>
      </c>
      <c r="B441" s="111" t="s">
        <v>232</v>
      </c>
      <c r="C441" s="111" t="s">
        <v>289</v>
      </c>
      <c r="D441" s="111" t="s">
        <v>153</v>
      </c>
      <c r="E441" s="111" t="s">
        <v>500</v>
      </c>
      <c r="F441" s="111" t="s">
        <v>757</v>
      </c>
      <c r="G441" s="112"/>
      <c r="H441" s="78">
        <f>H442</f>
        <v>1689.9</v>
      </c>
      <c r="I441" s="78">
        <f>I442</f>
        <v>1689.9</v>
      </c>
      <c r="J441" s="113">
        <f t="shared" si="25"/>
        <v>0</v>
      </c>
      <c r="K441" s="78">
        <f>K442</f>
        <v>1689.9</v>
      </c>
      <c r="L441" s="78">
        <f>L442</f>
        <v>1689.9</v>
      </c>
    </row>
    <row r="442" spans="1:12" s="5" customFormat="1" ht="21" customHeight="1">
      <c r="A442" s="92" t="s">
        <v>112</v>
      </c>
      <c r="B442" s="111" t="s">
        <v>232</v>
      </c>
      <c r="C442" s="111" t="s">
        <v>289</v>
      </c>
      <c r="D442" s="111" t="s">
        <v>153</v>
      </c>
      <c r="E442" s="111" t="s">
        <v>500</v>
      </c>
      <c r="F442" s="111" t="s">
        <v>757</v>
      </c>
      <c r="G442" s="112" t="s">
        <v>113</v>
      </c>
      <c r="H442" s="78">
        <f>'Пр. 11'!I426</f>
        <v>1689.9</v>
      </c>
      <c r="I442" s="78">
        <f>'Пр. 11'!J426</f>
        <v>1689.9</v>
      </c>
      <c r="J442" s="113">
        <f t="shared" si="25"/>
        <v>0</v>
      </c>
      <c r="K442" s="78">
        <f>'Пр. 11'!L426</f>
        <v>1689.9</v>
      </c>
      <c r="L442" s="78">
        <f>'Пр. 11'!M426</f>
        <v>1689.9</v>
      </c>
    </row>
    <row r="443" spans="1:12" s="5" customFormat="1" ht="51" customHeight="1">
      <c r="A443" s="123" t="s">
        <v>326</v>
      </c>
      <c r="B443" s="111" t="s">
        <v>232</v>
      </c>
      <c r="C443" s="111" t="s">
        <v>289</v>
      </c>
      <c r="D443" s="111" t="s">
        <v>153</v>
      </c>
      <c r="E443" s="111" t="s">
        <v>327</v>
      </c>
      <c r="F443" s="111"/>
      <c r="G443" s="112"/>
      <c r="H443" s="78">
        <f>H444</f>
        <v>38868.7</v>
      </c>
      <c r="I443" s="78">
        <f>I444</f>
        <v>38868.7</v>
      </c>
      <c r="J443" s="113">
        <f aca="true" t="shared" si="26" ref="J443:J551">I443-H443</f>
        <v>0</v>
      </c>
      <c r="K443" s="78">
        <f>K444</f>
        <v>37175.1</v>
      </c>
      <c r="L443" s="78">
        <f>L444</f>
        <v>37175.1</v>
      </c>
    </row>
    <row r="444" spans="1:12" s="5" customFormat="1" ht="18" customHeight="1">
      <c r="A444" s="123" t="s">
        <v>762</v>
      </c>
      <c r="B444" s="111" t="s">
        <v>232</v>
      </c>
      <c r="C444" s="111" t="s">
        <v>289</v>
      </c>
      <c r="D444" s="111" t="s">
        <v>153</v>
      </c>
      <c r="E444" s="111" t="s">
        <v>327</v>
      </c>
      <c r="F444" s="111" t="s">
        <v>761</v>
      </c>
      <c r="G444" s="112"/>
      <c r="H444" s="78">
        <f>H445</f>
        <v>38868.7</v>
      </c>
      <c r="I444" s="78">
        <f>I445</f>
        <v>38868.7</v>
      </c>
      <c r="J444" s="113">
        <f t="shared" si="26"/>
        <v>0</v>
      </c>
      <c r="K444" s="78">
        <f>K445</f>
        <v>37175.1</v>
      </c>
      <c r="L444" s="78">
        <f>L445</f>
        <v>37175.1</v>
      </c>
    </row>
    <row r="445" spans="1:12" s="5" customFormat="1" ht="18" customHeight="1">
      <c r="A445" s="92" t="s">
        <v>112</v>
      </c>
      <c r="B445" s="111" t="s">
        <v>232</v>
      </c>
      <c r="C445" s="111" t="s">
        <v>289</v>
      </c>
      <c r="D445" s="111" t="s">
        <v>153</v>
      </c>
      <c r="E445" s="111" t="s">
        <v>327</v>
      </c>
      <c r="F445" s="111" t="s">
        <v>761</v>
      </c>
      <c r="G445" s="112" t="s">
        <v>115</v>
      </c>
      <c r="H445" s="78">
        <f>'Пр. 11'!I464</f>
        <v>38868.7</v>
      </c>
      <c r="I445" s="78">
        <f>'Пр. 11'!J464</f>
        <v>38868.7</v>
      </c>
      <c r="J445" s="113">
        <f t="shared" si="26"/>
        <v>0</v>
      </c>
      <c r="K445" s="78">
        <f>'Пр. 11'!L464</f>
        <v>37175.1</v>
      </c>
      <c r="L445" s="78">
        <f>'Пр. 11'!M464</f>
        <v>37175.1</v>
      </c>
    </row>
    <row r="446" spans="1:12" s="5" customFormat="1" ht="111" customHeight="1">
      <c r="A446" s="123" t="s">
        <v>328</v>
      </c>
      <c r="B446" s="111" t="s">
        <v>232</v>
      </c>
      <c r="C446" s="111" t="s">
        <v>289</v>
      </c>
      <c r="D446" s="111" t="s">
        <v>153</v>
      </c>
      <c r="E446" s="111" t="s">
        <v>329</v>
      </c>
      <c r="F446" s="111"/>
      <c r="G446" s="112"/>
      <c r="H446" s="78">
        <f>H447</f>
        <v>1176</v>
      </c>
      <c r="I446" s="78">
        <f>I447</f>
        <v>1176</v>
      </c>
      <c r="J446" s="113">
        <f t="shared" si="26"/>
        <v>0</v>
      </c>
      <c r="K446" s="78">
        <f>K447</f>
        <v>1102.5</v>
      </c>
      <c r="L446" s="78">
        <f>L447</f>
        <v>1102.5</v>
      </c>
    </row>
    <row r="447" spans="1:12" s="5" customFormat="1" ht="18" customHeight="1">
      <c r="A447" s="123" t="s">
        <v>762</v>
      </c>
      <c r="B447" s="111" t="s">
        <v>232</v>
      </c>
      <c r="C447" s="111" t="s">
        <v>289</v>
      </c>
      <c r="D447" s="111" t="s">
        <v>153</v>
      </c>
      <c r="E447" s="111" t="s">
        <v>329</v>
      </c>
      <c r="F447" s="111" t="s">
        <v>761</v>
      </c>
      <c r="G447" s="112"/>
      <c r="H447" s="78">
        <f>H448</f>
        <v>1176</v>
      </c>
      <c r="I447" s="78">
        <f>I448</f>
        <v>1176</v>
      </c>
      <c r="J447" s="113">
        <f t="shared" si="26"/>
        <v>0</v>
      </c>
      <c r="K447" s="78">
        <f>K448</f>
        <v>1102.5</v>
      </c>
      <c r="L447" s="78">
        <f>L448</f>
        <v>1102.5</v>
      </c>
    </row>
    <row r="448" spans="1:12" s="5" customFormat="1" ht="20.25" customHeight="1">
      <c r="A448" s="92" t="s">
        <v>112</v>
      </c>
      <c r="B448" s="111" t="s">
        <v>232</v>
      </c>
      <c r="C448" s="111" t="s">
        <v>289</v>
      </c>
      <c r="D448" s="111" t="s">
        <v>153</v>
      </c>
      <c r="E448" s="111" t="s">
        <v>329</v>
      </c>
      <c r="F448" s="111" t="s">
        <v>761</v>
      </c>
      <c r="G448" s="112" t="s">
        <v>113</v>
      </c>
      <c r="H448" s="78">
        <f>'Пр. 11'!I428</f>
        <v>1176</v>
      </c>
      <c r="I448" s="78">
        <f>'Пр. 11'!J428</f>
        <v>1176</v>
      </c>
      <c r="J448" s="113">
        <f t="shared" si="26"/>
        <v>0</v>
      </c>
      <c r="K448" s="78">
        <f>'Пр. 11'!L428</f>
        <v>1102.5</v>
      </c>
      <c r="L448" s="78">
        <f>'Пр. 11'!M428</f>
        <v>1102.5</v>
      </c>
    </row>
    <row r="449" spans="1:12" s="5" customFormat="1" ht="109.5" customHeight="1">
      <c r="A449" s="123" t="s">
        <v>501</v>
      </c>
      <c r="B449" s="111" t="s">
        <v>232</v>
      </c>
      <c r="C449" s="111" t="s">
        <v>289</v>
      </c>
      <c r="D449" s="111" t="s">
        <v>153</v>
      </c>
      <c r="E449" s="111" t="s">
        <v>330</v>
      </c>
      <c r="F449" s="111"/>
      <c r="G449" s="112"/>
      <c r="H449" s="78">
        <f>H450+H452</f>
        <v>100</v>
      </c>
      <c r="I449" s="78">
        <f>I450+I452</f>
        <v>100</v>
      </c>
      <c r="J449" s="113">
        <f t="shared" si="26"/>
        <v>0</v>
      </c>
      <c r="K449" s="78">
        <f>K450+K452</f>
        <v>100</v>
      </c>
      <c r="L449" s="78">
        <f>L450+L452</f>
        <v>100</v>
      </c>
    </row>
    <row r="450" spans="1:12" s="5" customFormat="1" ht="33.75" customHeight="1">
      <c r="A450" s="123" t="s">
        <v>758</v>
      </c>
      <c r="B450" s="111" t="s">
        <v>232</v>
      </c>
      <c r="C450" s="111" t="s">
        <v>289</v>
      </c>
      <c r="D450" s="111" t="s">
        <v>153</v>
      </c>
      <c r="E450" s="111" t="s">
        <v>330</v>
      </c>
      <c r="F450" s="111" t="s">
        <v>757</v>
      </c>
      <c r="G450" s="112"/>
      <c r="H450" s="78">
        <f>H451</f>
        <v>100</v>
      </c>
      <c r="I450" s="78">
        <f>I451</f>
        <v>100</v>
      </c>
      <c r="J450" s="113">
        <f t="shared" si="26"/>
        <v>0</v>
      </c>
      <c r="K450" s="78">
        <f>K451</f>
        <v>100</v>
      </c>
      <c r="L450" s="78">
        <f>L451</f>
        <v>100</v>
      </c>
    </row>
    <row r="451" spans="1:12" s="5" customFormat="1" ht="18" customHeight="1">
      <c r="A451" s="92" t="s">
        <v>112</v>
      </c>
      <c r="B451" s="111" t="s">
        <v>232</v>
      </c>
      <c r="C451" s="111" t="s">
        <v>289</v>
      </c>
      <c r="D451" s="111" t="s">
        <v>153</v>
      </c>
      <c r="E451" s="111" t="s">
        <v>330</v>
      </c>
      <c r="F451" s="111" t="s">
        <v>757</v>
      </c>
      <c r="G451" s="112" t="s">
        <v>113</v>
      </c>
      <c r="H451" s="78">
        <f>'Пр. 11'!I430</f>
        <v>100</v>
      </c>
      <c r="I451" s="78">
        <f>'Пр. 11'!J430</f>
        <v>100</v>
      </c>
      <c r="J451" s="113">
        <f t="shared" si="26"/>
        <v>0</v>
      </c>
      <c r="K451" s="78">
        <f>'Пр. 11'!L430</f>
        <v>100</v>
      </c>
      <c r="L451" s="78">
        <f>'Пр. 11'!M430</f>
        <v>100</v>
      </c>
    </row>
    <row r="452" spans="1:12" s="5" customFormat="1" ht="18" customHeight="1">
      <c r="A452" s="123" t="s">
        <v>762</v>
      </c>
      <c r="B452" s="111" t="s">
        <v>232</v>
      </c>
      <c r="C452" s="111" t="s">
        <v>289</v>
      </c>
      <c r="D452" s="111" t="s">
        <v>153</v>
      </c>
      <c r="E452" s="111" t="s">
        <v>330</v>
      </c>
      <c r="F452" s="111" t="s">
        <v>761</v>
      </c>
      <c r="G452" s="112"/>
      <c r="H452" s="78">
        <f>H453</f>
        <v>0</v>
      </c>
      <c r="I452" s="78">
        <f>I453</f>
        <v>0</v>
      </c>
      <c r="J452" s="113">
        <f t="shared" si="26"/>
        <v>0</v>
      </c>
      <c r="K452" s="78">
        <f>K453</f>
        <v>0</v>
      </c>
      <c r="L452" s="78">
        <f>L453</f>
        <v>0</v>
      </c>
    </row>
    <row r="453" spans="1:12" s="5" customFormat="1" ht="18" customHeight="1">
      <c r="A453" s="92" t="s">
        <v>112</v>
      </c>
      <c r="B453" s="111" t="s">
        <v>232</v>
      </c>
      <c r="C453" s="111" t="s">
        <v>289</v>
      </c>
      <c r="D453" s="111" t="s">
        <v>153</v>
      </c>
      <c r="E453" s="111" t="s">
        <v>330</v>
      </c>
      <c r="F453" s="111" t="s">
        <v>761</v>
      </c>
      <c r="G453" s="112" t="s">
        <v>113</v>
      </c>
      <c r="H453" s="78">
        <f>'Пр. 11'!I431</f>
        <v>0</v>
      </c>
      <c r="I453" s="78">
        <f>'Пр. 11'!J431</f>
        <v>0</v>
      </c>
      <c r="J453" s="113">
        <f t="shared" si="26"/>
        <v>0</v>
      </c>
      <c r="K453" s="78">
        <f>'Пр. 11'!L431</f>
        <v>0</v>
      </c>
      <c r="L453" s="78">
        <f>'Пр. 11'!M431</f>
        <v>0</v>
      </c>
    </row>
    <row r="454" spans="1:12" s="5" customFormat="1" ht="69" customHeight="1" hidden="1">
      <c r="A454" s="123" t="s">
        <v>331</v>
      </c>
      <c r="B454" s="111" t="s">
        <v>232</v>
      </c>
      <c r="C454" s="111" t="s">
        <v>289</v>
      </c>
      <c r="D454" s="111" t="s">
        <v>153</v>
      </c>
      <c r="E454" s="111" t="s">
        <v>332</v>
      </c>
      <c r="F454" s="111"/>
      <c r="G454" s="112"/>
      <c r="H454" s="78">
        <f>H455</f>
        <v>0</v>
      </c>
      <c r="I454" s="78">
        <f>I455</f>
        <v>0</v>
      </c>
      <c r="J454" s="113">
        <f t="shared" si="26"/>
        <v>0</v>
      </c>
      <c r="K454" s="78">
        <f>K455</f>
        <v>0</v>
      </c>
      <c r="L454" s="78">
        <f>L455</f>
        <v>0</v>
      </c>
    </row>
    <row r="455" spans="1:12" s="5" customFormat="1" ht="18" customHeight="1" hidden="1">
      <c r="A455" s="123" t="s">
        <v>762</v>
      </c>
      <c r="B455" s="111" t="s">
        <v>232</v>
      </c>
      <c r="C455" s="111" t="s">
        <v>289</v>
      </c>
      <c r="D455" s="111" t="s">
        <v>153</v>
      </c>
      <c r="E455" s="111" t="s">
        <v>332</v>
      </c>
      <c r="F455" s="111" t="s">
        <v>761</v>
      </c>
      <c r="G455" s="112"/>
      <c r="H455" s="78">
        <f>H456</f>
        <v>0</v>
      </c>
      <c r="I455" s="78">
        <f>I456</f>
        <v>0</v>
      </c>
      <c r="J455" s="113">
        <f t="shared" si="26"/>
        <v>0</v>
      </c>
      <c r="K455" s="78">
        <f>K456</f>
        <v>0</v>
      </c>
      <c r="L455" s="78">
        <f>L456</f>
        <v>0</v>
      </c>
    </row>
    <row r="456" spans="1:12" s="5" customFormat="1" ht="18" customHeight="1" hidden="1">
      <c r="A456" s="92" t="s">
        <v>112</v>
      </c>
      <c r="B456" s="111" t="s">
        <v>232</v>
      </c>
      <c r="C456" s="111" t="s">
        <v>289</v>
      </c>
      <c r="D456" s="111" t="s">
        <v>153</v>
      </c>
      <c r="E456" s="111" t="s">
        <v>332</v>
      </c>
      <c r="F456" s="111" t="s">
        <v>761</v>
      </c>
      <c r="G456" s="112" t="s">
        <v>113</v>
      </c>
      <c r="H456" s="78">
        <f>'Пр. 11'!I433</f>
        <v>0</v>
      </c>
      <c r="I456" s="78">
        <f>'Пр. 11'!J433</f>
        <v>0</v>
      </c>
      <c r="J456" s="113">
        <f t="shared" si="26"/>
        <v>0</v>
      </c>
      <c r="K456" s="78">
        <f>'Пр. 11'!L433</f>
        <v>0</v>
      </c>
      <c r="L456" s="78">
        <f>'Пр. 11'!M433</f>
        <v>0</v>
      </c>
    </row>
    <row r="457" spans="1:12" s="5" customFormat="1" ht="170.25" customHeight="1">
      <c r="A457" s="123" t="s">
        <v>507</v>
      </c>
      <c r="B457" s="111" t="s">
        <v>232</v>
      </c>
      <c r="C457" s="111" t="s">
        <v>289</v>
      </c>
      <c r="D457" s="111" t="s">
        <v>153</v>
      </c>
      <c r="E457" s="111" t="s">
        <v>333</v>
      </c>
      <c r="F457" s="111"/>
      <c r="G457" s="112"/>
      <c r="H457" s="78">
        <f>H458</f>
        <v>2109.6</v>
      </c>
      <c r="I457" s="78">
        <f>I458</f>
        <v>2109.6</v>
      </c>
      <c r="J457" s="113">
        <f t="shared" si="26"/>
        <v>0</v>
      </c>
      <c r="K457" s="78">
        <f>K458</f>
        <v>1789.8</v>
      </c>
      <c r="L457" s="78">
        <f>L458</f>
        <v>1789.8</v>
      </c>
    </row>
    <row r="458" spans="1:12" s="5" customFormat="1" ht="21.75" customHeight="1">
      <c r="A458" s="123" t="s">
        <v>762</v>
      </c>
      <c r="B458" s="111" t="s">
        <v>232</v>
      </c>
      <c r="C458" s="111" t="s">
        <v>289</v>
      </c>
      <c r="D458" s="111" t="s">
        <v>153</v>
      </c>
      <c r="E458" s="111" t="s">
        <v>333</v>
      </c>
      <c r="F458" s="111" t="s">
        <v>761</v>
      </c>
      <c r="G458" s="112"/>
      <c r="H458" s="78">
        <f>H459</f>
        <v>2109.6</v>
      </c>
      <c r="I458" s="78">
        <f>I459</f>
        <v>2109.6</v>
      </c>
      <c r="J458" s="113">
        <f t="shared" si="26"/>
        <v>0</v>
      </c>
      <c r="K458" s="78">
        <f>K459</f>
        <v>1789.8</v>
      </c>
      <c r="L458" s="78">
        <f>L459</f>
        <v>1789.8</v>
      </c>
    </row>
    <row r="459" spans="1:12" s="5" customFormat="1" ht="21.75" customHeight="1">
      <c r="A459" s="92" t="s">
        <v>112</v>
      </c>
      <c r="B459" s="111" t="s">
        <v>232</v>
      </c>
      <c r="C459" s="111" t="s">
        <v>289</v>
      </c>
      <c r="D459" s="111" t="s">
        <v>153</v>
      </c>
      <c r="E459" s="111" t="s">
        <v>333</v>
      </c>
      <c r="F459" s="111" t="s">
        <v>761</v>
      </c>
      <c r="G459" s="112" t="s">
        <v>113</v>
      </c>
      <c r="H459" s="78">
        <f>'Пр. 11'!I435</f>
        <v>2109.6</v>
      </c>
      <c r="I459" s="78">
        <f>'Пр. 11'!J435</f>
        <v>2109.6</v>
      </c>
      <c r="J459" s="113">
        <f t="shared" si="26"/>
        <v>0</v>
      </c>
      <c r="K459" s="78">
        <f>'Пр. 11'!L435</f>
        <v>1789.8</v>
      </c>
      <c r="L459" s="78">
        <f>'Пр. 11'!M435</f>
        <v>1789.8</v>
      </c>
    </row>
    <row r="460" spans="1:12" s="5" customFormat="1" ht="62.25" customHeight="1">
      <c r="A460" s="123" t="s">
        <v>334</v>
      </c>
      <c r="B460" s="111" t="s">
        <v>232</v>
      </c>
      <c r="C460" s="111" t="s">
        <v>289</v>
      </c>
      <c r="D460" s="111" t="s">
        <v>153</v>
      </c>
      <c r="E460" s="111" t="s">
        <v>335</v>
      </c>
      <c r="F460" s="111"/>
      <c r="G460" s="112"/>
      <c r="H460" s="78">
        <f>H461</f>
        <v>91.5</v>
      </c>
      <c r="I460" s="78">
        <f>I461</f>
        <v>91.5</v>
      </c>
      <c r="J460" s="113">
        <f t="shared" si="26"/>
        <v>0</v>
      </c>
      <c r="K460" s="78">
        <f>K461</f>
        <v>91.5</v>
      </c>
      <c r="L460" s="78">
        <f>L461</f>
        <v>91.5</v>
      </c>
    </row>
    <row r="461" spans="1:12" s="5" customFormat="1" ht="35.25" customHeight="1">
      <c r="A461" s="123" t="s">
        <v>758</v>
      </c>
      <c r="B461" s="111" t="s">
        <v>232</v>
      </c>
      <c r="C461" s="111" t="s">
        <v>289</v>
      </c>
      <c r="D461" s="111" t="s">
        <v>153</v>
      </c>
      <c r="E461" s="111" t="s">
        <v>335</v>
      </c>
      <c r="F461" s="111" t="s">
        <v>757</v>
      </c>
      <c r="G461" s="112"/>
      <c r="H461" s="78">
        <f>H462</f>
        <v>91.5</v>
      </c>
      <c r="I461" s="78">
        <f>I462</f>
        <v>91.5</v>
      </c>
      <c r="J461" s="113">
        <f t="shared" si="26"/>
        <v>0</v>
      </c>
      <c r="K461" s="78">
        <f>K462</f>
        <v>91.5</v>
      </c>
      <c r="L461" s="78">
        <f>L462</f>
        <v>91.5</v>
      </c>
    </row>
    <row r="462" spans="1:12" s="5" customFormat="1" ht="20.25" customHeight="1">
      <c r="A462" s="92" t="s">
        <v>112</v>
      </c>
      <c r="B462" s="111" t="s">
        <v>232</v>
      </c>
      <c r="C462" s="111" t="s">
        <v>289</v>
      </c>
      <c r="D462" s="111" t="s">
        <v>153</v>
      </c>
      <c r="E462" s="111" t="s">
        <v>335</v>
      </c>
      <c r="F462" s="111" t="s">
        <v>757</v>
      </c>
      <c r="G462" s="112" t="s">
        <v>113</v>
      </c>
      <c r="H462" s="78">
        <f>'Пр. 11'!I437</f>
        <v>91.5</v>
      </c>
      <c r="I462" s="78">
        <f>'Пр. 11'!J437</f>
        <v>91.5</v>
      </c>
      <c r="J462" s="113">
        <f t="shared" si="26"/>
        <v>0</v>
      </c>
      <c r="K462" s="78">
        <f>'Пр. 11'!L437</f>
        <v>91.5</v>
      </c>
      <c r="L462" s="78">
        <f>'Пр. 11'!M437</f>
        <v>91.5</v>
      </c>
    </row>
    <row r="463" spans="1:12" s="5" customFormat="1" ht="38.25" customHeight="1">
      <c r="A463" s="122" t="s">
        <v>898</v>
      </c>
      <c r="B463" s="107" t="s">
        <v>293</v>
      </c>
      <c r="C463" s="105">
        <v>0</v>
      </c>
      <c r="D463" s="107" t="s">
        <v>155</v>
      </c>
      <c r="E463" s="107" t="s">
        <v>156</v>
      </c>
      <c r="F463" s="71"/>
      <c r="G463" s="107"/>
      <c r="H463" s="37">
        <f>H464+H491</f>
        <v>533.5</v>
      </c>
      <c r="I463" s="37">
        <f>I464+I491</f>
        <v>533.5</v>
      </c>
      <c r="J463" s="108">
        <f t="shared" si="26"/>
        <v>0</v>
      </c>
      <c r="K463" s="37">
        <f>K464+K491</f>
        <v>563.0999999999999</v>
      </c>
      <c r="L463" s="37">
        <f>L464+L491</f>
        <v>573.3</v>
      </c>
    </row>
    <row r="464" spans="1:12" s="5" customFormat="1" ht="38.25" customHeight="1">
      <c r="A464" s="122" t="s">
        <v>900</v>
      </c>
      <c r="B464" s="107" t="s">
        <v>293</v>
      </c>
      <c r="C464" s="105">
        <v>1</v>
      </c>
      <c r="D464" s="107" t="s">
        <v>155</v>
      </c>
      <c r="E464" s="107" t="s">
        <v>156</v>
      </c>
      <c r="F464" s="71"/>
      <c r="G464" s="107"/>
      <c r="H464" s="37">
        <f>H465+H469+H476+H480+H484</f>
        <v>497.49999999999994</v>
      </c>
      <c r="I464" s="37">
        <f>I465+I469+I476+I480+I484</f>
        <v>497.49999999999994</v>
      </c>
      <c r="J464" s="108">
        <f t="shared" si="26"/>
        <v>0</v>
      </c>
      <c r="K464" s="37">
        <f>K465+K469+K476+K480+K484</f>
        <v>526.3</v>
      </c>
      <c r="L464" s="37">
        <f>L465+L469+L476+L480+L484</f>
        <v>536.3</v>
      </c>
    </row>
    <row r="465" spans="1:12" s="5" customFormat="1" ht="36.75" customHeight="1">
      <c r="A465" s="122" t="s">
        <v>899</v>
      </c>
      <c r="B465" s="107" t="s">
        <v>293</v>
      </c>
      <c r="C465" s="105">
        <v>1</v>
      </c>
      <c r="D465" s="107" t="s">
        <v>153</v>
      </c>
      <c r="E465" s="107" t="s">
        <v>156</v>
      </c>
      <c r="F465" s="71"/>
      <c r="G465" s="107"/>
      <c r="H465" s="37">
        <f aca="true" t="shared" si="27" ref="H465:L467">H466</f>
        <v>70.8</v>
      </c>
      <c r="I465" s="37">
        <f t="shared" si="27"/>
        <v>70.8</v>
      </c>
      <c r="J465" s="108">
        <f t="shared" si="26"/>
        <v>0</v>
      </c>
      <c r="K465" s="37">
        <f t="shared" si="27"/>
        <v>72.4</v>
      </c>
      <c r="L465" s="37">
        <f t="shared" si="27"/>
        <v>74</v>
      </c>
    </row>
    <row r="466" spans="1:12" s="5" customFormat="1" ht="52.5" customHeight="1">
      <c r="A466" s="22" t="s">
        <v>967</v>
      </c>
      <c r="B466" s="112" t="s">
        <v>293</v>
      </c>
      <c r="C466" s="129">
        <v>1</v>
      </c>
      <c r="D466" s="112" t="s">
        <v>153</v>
      </c>
      <c r="E466" s="112" t="s">
        <v>532</v>
      </c>
      <c r="F466" s="111"/>
      <c r="G466" s="112"/>
      <c r="H466" s="78">
        <f t="shared" si="27"/>
        <v>70.8</v>
      </c>
      <c r="I466" s="78">
        <f t="shared" si="27"/>
        <v>70.8</v>
      </c>
      <c r="J466" s="113">
        <f t="shared" si="26"/>
        <v>0</v>
      </c>
      <c r="K466" s="78">
        <f t="shared" si="27"/>
        <v>72.4</v>
      </c>
      <c r="L466" s="78">
        <f t="shared" si="27"/>
        <v>74</v>
      </c>
    </row>
    <row r="467" spans="1:12" s="5" customFormat="1" ht="20.25" customHeight="1">
      <c r="A467" s="123" t="s">
        <v>767</v>
      </c>
      <c r="B467" s="112" t="s">
        <v>293</v>
      </c>
      <c r="C467" s="129">
        <v>1</v>
      </c>
      <c r="D467" s="112" t="s">
        <v>153</v>
      </c>
      <c r="E467" s="112" t="s">
        <v>532</v>
      </c>
      <c r="F467" s="111" t="s">
        <v>766</v>
      </c>
      <c r="G467" s="112"/>
      <c r="H467" s="78">
        <f t="shared" si="27"/>
        <v>70.8</v>
      </c>
      <c r="I467" s="78">
        <f t="shared" si="27"/>
        <v>70.8</v>
      </c>
      <c r="J467" s="113">
        <f t="shared" si="26"/>
        <v>0</v>
      </c>
      <c r="K467" s="78">
        <f t="shared" si="27"/>
        <v>72.4</v>
      </c>
      <c r="L467" s="78">
        <f t="shared" si="27"/>
        <v>74</v>
      </c>
    </row>
    <row r="468" spans="1:12" s="5" customFormat="1" ht="23.25" customHeight="1">
      <c r="A468" s="114" t="s">
        <v>98</v>
      </c>
      <c r="B468" s="112" t="s">
        <v>293</v>
      </c>
      <c r="C468" s="129">
        <v>1</v>
      </c>
      <c r="D468" s="112" t="s">
        <v>153</v>
      </c>
      <c r="E468" s="112" t="s">
        <v>532</v>
      </c>
      <c r="F468" s="111" t="s">
        <v>766</v>
      </c>
      <c r="G468" s="112" t="s">
        <v>99</v>
      </c>
      <c r="H468" s="78">
        <f>'Пр. 11'!I337</f>
        <v>70.8</v>
      </c>
      <c r="I468" s="78">
        <f>'Пр. 11'!J337</f>
        <v>70.8</v>
      </c>
      <c r="J468" s="113">
        <f t="shared" si="26"/>
        <v>0</v>
      </c>
      <c r="K468" s="78">
        <f>'Пр. 11'!L337</f>
        <v>72.4</v>
      </c>
      <c r="L468" s="78">
        <f>'Пр. 11'!M337</f>
        <v>74</v>
      </c>
    </row>
    <row r="469" spans="1:12" s="5" customFormat="1" ht="37.5" customHeight="1">
      <c r="A469" s="128" t="s">
        <v>958</v>
      </c>
      <c r="B469" s="107" t="s">
        <v>293</v>
      </c>
      <c r="C469" s="105">
        <v>1</v>
      </c>
      <c r="D469" s="107" t="s">
        <v>166</v>
      </c>
      <c r="E469" s="107" t="s">
        <v>156</v>
      </c>
      <c r="F469" s="71"/>
      <c r="G469" s="107"/>
      <c r="H469" s="37">
        <f>H470+H473</f>
        <v>245.9</v>
      </c>
      <c r="I469" s="37">
        <f>I470+I473</f>
        <v>245.9</v>
      </c>
      <c r="J469" s="108">
        <f t="shared" si="26"/>
        <v>0</v>
      </c>
      <c r="K469" s="37">
        <f>K470+K473</f>
        <v>268.9</v>
      </c>
      <c r="L469" s="37">
        <f>L470+L473</f>
        <v>271.3</v>
      </c>
    </row>
    <row r="470" spans="1:12" s="5" customFormat="1" ht="55.5" customHeight="1">
      <c r="A470" s="114" t="s">
        <v>936</v>
      </c>
      <c r="B470" s="112" t="s">
        <v>293</v>
      </c>
      <c r="C470" s="129">
        <v>1</v>
      </c>
      <c r="D470" s="112" t="s">
        <v>166</v>
      </c>
      <c r="E470" s="112" t="s">
        <v>533</v>
      </c>
      <c r="F470" s="111"/>
      <c r="G470" s="112"/>
      <c r="H470" s="78">
        <f>H471</f>
        <v>71.9</v>
      </c>
      <c r="I470" s="78">
        <f>I471</f>
        <v>71.9</v>
      </c>
      <c r="J470" s="113">
        <f t="shared" si="26"/>
        <v>0</v>
      </c>
      <c r="K470" s="78">
        <f>K471</f>
        <v>73.6</v>
      </c>
      <c r="L470" s="78">
        <f>L471</f>
        <v>76</v>
      </c>
    </row>
    <row r="471" spans="1:12" s="5" customFormat="1" ht="21.75" customHeight="1">
      <c r="A471" s="123" t="s">
        <v>767</v>
      </c>
      <c r="B471" s="112" t="s">
        <v>293</v>
      </c>
      <c r="C471" s="129">
        <v>1</v>
      </c>
      <c r="D471" s="112" t="s">
        <v>166</v>
      </c>
      <c r="E471" s="112" t="s">
        <v>533</v>
      </c>
      <c r="F471" s="111" t="s">
        <v>766</v>
      </c>
      <c r="G471" s="112"/>
      <c r="H471" s="78">
        <f>H472</f>
        <v>71.9</v>
      </c>
      <c r="I471" s="78">
        <f>I472</f>
        <v>71.9</v>
      </c>
      <c r="J471" s="113">
        <f t="shared" si="26"/>
        <v>0</v>
      </c>
      <c r="K471" s="78">
        <f>K472</f>
        <v>73.6</v>
      </c>
      <c r="L471" s="78">
        <f>L472</f>
        <v>76</v>
      </c>
    </row>
    <row r="472" spans="1:12" s="5" customFormat="1" ht="24" customHeight="1">
      <c r="A472" s="22" t="s">
        <v>98</v>
      </c>
      <c r="B472" s="112" t="s">
        <v>293</v>
      </c>
      <c r="C472" s="129">
        <v>1</v>
      </c>
      <c r="D472" s="112" t="s">
        <v>166</v>
      </c>
      <c r="E472" s="112" t="s">
        <v>533</v>
      </c>
      <c r="F472" s="111" t="s">
        <v>766</v>
      </c>
      <c r="G472" s="112" t="s">
        <v>99</v>
      </c>
      <c r="H472" s="78">
        <f>'Пр. 11'!I340</f>
        <v>71.9</v>
      </c>
      <c r="I472" s="78">
        <f>'Пр. 11'!J340</f>
        <v>71.9</v>
      </c>
      <c r="J472" s="113">
        <f t="shared" si="26"/>
        <v>0</v>
      </c>
      <c r="K472" s="78">
        <f>'Пр. 11'!L340</f>
        <v>73.6</v>
      </c>
      <c r="L472" s="78">
        <f>'Пр. 11'!M340</f>
        <v>76</v>
      </c>
    </row>
    <row r="473" spans="1:12" s="5" customFormat="1" ht="49.5" customHeight="1">
      <c r="A473" s="123" t="s">
        <v>512</v>
      </c>
      <c r="B473" s="112" t="s">
        <v>293</v>
      </c>
      <c r="C473" s="129">
        <v>1</v>
      </c>
      <c r="D473" s="112" t="s">
        <v>166</v>
      </c>
      <c r="E473" s="111" t="s">
        <v>840</v>
      </c>
      <c r="F473" s="111"/>
      <c r="G473" s="112"/>
      <c r="H473" s="78">
        <f>H474</f>
        <v>174</v>
      </c>
      <c r="I473" s="78">
        <f>I474</f>
        <v>174</v>
      </c>
      <c r="J473" s="113">
        <f t="shared" si="26"/>
        <v>0</v>
      </c>
      <c r="K473" s="78">
        <f>K474</f>
        <v>195.3</v>
      </c>
      <c r="L473" s="78">
        <f>L474</f>
        <v>195.3</v>
      </c>
    </row>
    <row r="474" spans="1:12" s="5" customFormat="1" ht="19.5" customHeight="1">
      <c r="A474" s="123" t="s">
        <v>767</v>
      </c>
      <c r="B474" s="112" t="s">
        <v>293</v>
      </c>
      <c r="C474" s="129">
        <v>1</v>
      </c>
      <c r="D474" s="112" t="s">
        <v>166</v>
      </c>
      <c r="E474" s="111" t="s">
        <v>840</v>
      </c>
      <c r="F474" s="111" t="s">
        <v>766</v>
      </c>
      <c r="G474" s="112"/>
      <c r="H474" s="78">
        <f>H475</f>
        <v>174</v>
      </c>
      <c r="I474" s="78">
        <f>I475</f>
        <v>174</v>
      </c>
      <c r="J474" s="113">
        <f t="shared" si="26"/>
        <v>0</v>
      </c>
      <c r="K474" s="78">
        <f>K475</f>
        <v>195.3</v>
      </c>
      <c r="L474" s="78">
        <f>L475</f>
        <v>195.3</v>
      </c>
    </row>
    <row r="475" spans="1:12" s="5" customFormat="1" ht="22.5" customHeight="1">
      <c r="A475" s="22" t="s">
        <v>98</v>
      </c>
      <c r="B475" s="112" t="s">
        <v>293</v>
      </c>
      <c r="C475" s="129">
        <v>1</v>
      </c>
      <c r="D475" s="112" t="s">
        <v>166</v>
      </c>
      <c r="E475" s="111" t="s">
        <v>840</v>
      </c>
      <c r="F475" s="111" t="s">
        <v>766</v>
      </c>
      <c r="G475" s="112" t="s">
        <v>99</v>
      </c>
      <c r="H475" s="78">
        <f>'Пр. 11'!I342</f>
        <v>174</v>
      </c>
      <c r="I475" s="78">
        <f>'Пр. 11'!J342</f>
        <v>174</v>
      </c>
      <c r="J475" s="113">
        <f t="shared" si="26"/>
        <v>0</v>
      </c>
      <c r="K475" s="78">
        <f>'Пр. 11'!L342</f>
        <v>195.3</v>
      </c>
      <c r="L475" s="78">
        <f>'Пр. 11'!M342</f>
        <v>195.3</v>
      </c>
    </row>
    <row r="476" spans="1:12" s="5" customFormat="1" ht="40.5" customHeight="1">
      <c r="A476" s="128" t="s">
        <v>901</v>
      </c>
      <c r="B476" s="107" t="s">
        <v>293</v>
      </c>
      <c r="C476" s="105">
        <v>1</v>
      </c>
      <c r="D476" s="107" t="s">
        <v>180</v>
      </c>
      <c r="E476" s="107" t="s">
        <v>156</v>
      </c>
      <c r="F476" s="71"/>
      <c r="G476" s="107"/>
      <c r="H476" s="37">
        <f aca="true" t="shared" si="28" ref="H476:I478">H477</f>
        <v>97.6</v>
      </c>
      <c r="I476" s="37">
        <f t="shared" si="28"/>
        <v>97.6</v>
      </c>
      <c r="J476" s="108">
        <f t="shared" si="26"/>
        <v>0</v>
      </c>
      <c r="K476" s="37">
        <f aca="true" t="shared" si="29" ref="K476:L478">K477</f>
        <v>99.9</v>
      </c>
      <c r="L476" s="37">
        <f t="shared" si="29"/>
        <v>100</v>
      </c>
    </row>
    <row r="477" spans="1:12" s="5" customFormat="1" ht="38.25" customHeight="1">
      <c r="A477" s="114" t="s">
        <v>968</v>
      </c>
      <c r="B477" s="112" t="s">
        <v>293</v>
      </c>
      <c r="C477" s="129">
        <v>1</v>
      </c>
      <c r="D477" s="112" t="s">
        <v>180</v>
      </c>
      <c r="E477" s="112" t="s">
        <v>535</v>
      </c>
      <c r="F477" s="111"/>
      <c r="G477" s="112"/>
      <c r="H477" s="78">
        <f t="shared" si="28"/>
        <v>97.6</v>
      </c>
      <c r="I477" s="78">
        <f t="shared" si="28"/>
        <v>97.6</v>
      </c>
      <c r="J477" s="113">
        <f t="shared" si="26"/>
        <v>0</v>
      </c>
      <c r="K477" s="78">
        <f t="shared" si="29"/>
        <v>99.9</v>
      </c>
      <c r="L477" s="78">
        <f t="shared" si="29"/>
        <v>100</v>
      </c>
    </row>
    <row r="478" spans="1:12" s="5" customFormat="1" ht="22.5" customHeight="1">
      <c r="A478" s="123" t="s">
        <v>767</v>
      </c>
      <c r="B478" s="112" t="s">
        <v>293</v>
      </c>
      <c r="C478" s="129">
        <v>1</v>
      </c>
      <c r="D478" s="112" t="s">
        <v>180</v>
      </c>
      <c r="E478" s="112" t="s">
        <v>535</v>
      </c>
      <c r="F478" s="111" t="s">
        <v>766</v>
      </c>
      <c r="G478" s="112"/>
      <c r="H478" s="78">
        <f t="shared" si="28"/>
        <v>97.6</v>
      </c>
      <c r="I478" s="78">
        <f t="shared" si="28"/>
        <v>97.6</v>
      </c>
      <c r="J478" s="113">
        <f t="shared" si="26"/>
        <v>0</v>
      </c>
      <c r="K478" s="78">
        <f t="shared" si="29"/>
        <v>99.9</v>
      </c>
      <c r="L478" s="78">
        <f t="shared" si="29"/>
        <v>100</v>
      </c>
    </row>
    <row r="479" spans="1:12" s="5" customFormat="1" ht="22.5" customHeight="1">
      <c r="A479" s="22" t="s">
        <v>98</v>
      </c>
      <c r="B479" s="112" t="s">
        <v>293</v>
      </c>
      <c r="C479" s="129">
        <v>1</v>
      </c>
      <c r="D479" s="112" t="s">
        <v>180</v>
      </c>
      <c r="E479" s="112" t="s">
        <v>535</v>
      </c>
      <c r="F479" s="111" t="s">
        <v>766</v>
      </c>
      <c r="G479" s="112" t="s">
        <v>99</v>
      </c>
      <c r="H479" s="78">
        <f>'Пр. 11'!I345</f>
        <v>97.6</v>
      </c>
      <c r="I479" s="78">
        <f>'Пр. 11'!J345</f>
        <v>97.6</v>
      </c>
      <c r="J479" s="113">
        <f t="shared" si="26"/>
        <v>0</v>
      </c>
      <c r="K479" s="78">
        <f>'Пр. 11'!L345</f>
        <v>99.9</v>
      </c>
      <c r="L479" s="78">
        <f>'Пр. 11'!M345</f>
        <v>100</v>
      </c>
    </row>
    <row r="480" spans="1:12" s="5" customFormat="1" ht="39.75" customHeight="1">
      <c r="A480" s="128" t="s">
        <v>397</v>
      </c>
      <c r="B480" s="107" t="s">
        <v>293</v>
      </c>
      <c r="C480" s="105">
        <v>1</v>
      </c>
      <c r="D480" s="107" t="s">
        <v>193</v>
      </c>
      <c r="E480" s="107" t="s">
        <v>156</v>
      </c>
      <c r="F480" s="71"/>
      <c r="G480" s="107"/>
      <c r="H480" s="37">
        <f aca="true" t="shared" si="30" ref="H480:I482">H481</f>
        <v>20.5</v>
      </c>
      <c r="I480" s="37">
        <f t="shared" si="30"/>
        <v>20.5</v>
      </c>
      <c r="J480" s="113">
        <f t="shared" si="26"/>
        <v>0</v>
      </c>
      <c r="K480" s="37">
        <f aca="true" t="shared" si="31" ref="K480:L482">K481</f>
        <v>21</v>
      </c>
      <c r="L480" s="37">
        <f t="shared" si="31"/>
        <v>25</v>
      </c>
    </row>
    <row r="481" spans="1:12" s="5" customFormat="1" ht="38.25" customHeight="1">
      <c r="A481" s="114" t="s">
        <v>937</v>
      </c>
      <c r="B481" s="112" t="s">
        <v>293</v>
      </c>
      <c r="C481" s="129">
        <v>1</v>
      </c>
      <c r="D481" s="112" t="s">
        <v>193</v>
      </c>
      <c r="E481" s="112" t="s">
        <v>536</v>
      </c>
      <c r="F481" s="111"/>
      <c r="G481" s="112"/>
      <c r="H481" s="78">
        <f t="shared" si="30"/>
        <v>20.5</v>
      </c>
      <c r="I481" s="78">
        <f t="shared" si="30"/>
        <v>20.5</v>
      </c>
      <c r="J481" s="113">
        <f t="shared" si="26"/>
        <v>0</v>
      </c>
      <c r="K481" s="78">
        <f t="shared" si="31"/>
        <v>21</v>
      </c>
      <c r="L481" s="78">
        <f t="shared" si="31"/>
        <v>25</v>
      </c>
    </row>
    <row r="482" spans="1:12" s="5" customFormat="1" ht="17.25" customHeight="1">
      <c r="A482" s="123" t="s">
        <v>767</v>
      </c>
      <c r="B482" s="112" t="s">
        <v>293</v>
      </c>
      <c r="C482" s="129">
        <v>1</v>
      </c>
      <c r="D482" s="112" t="s">
        <v>193</v>
      </c>
      <c r="E482" s="112" t="s">
        <v>536</v>
      </c>
      <c r="F482" s="111" t="s">
        <v>766</v>
      </c>
      <c r="G482" s="112"/>
      <c r="H482" s="78">
        <f t="shared" si="30"/>
        <v>20.5</v>
      </c>
      <c r="I482" s="78">
        <f t="shared" si="30"/>
        <v>20.5</v>
      </c>
      <c r="J482" s="113">
        <f t="shared" si="26"/>
        <v>0</v>
      </c>
      <c r="K482" s="78">
        <f t="shared" si="31"/>
        <v>21</v>
      </c>
      <c r="L482" s="78">
        <f t="shared" si="31"/>
        <v>25</v>
      </c>
    </row>
    <row r="483" spans="1:12" s="5" customFormat="1" ht="23.25" customHeight="1">
      <c r="A483" s="22" t="s">
        <v>98</v>
      </c>
      <c r="B483" s="112" t="s">
        <v>293</v>
      </c>
      <c r="C483" s="129">
        <v>1</v>
      </c>
      <c r="D483" s="112" t="s">
        <v>193</v>
      </c>
      <c r="E483" s="112" t="s">
        <v>536</v>
      </c>
      <c r="F483" s="111" t="s">
        <v>766</v>
      </c>
      <c r="G483" s="112" t="s">
        <v>99</v>
      </c>
      <c r="H483" s="78">
        <f>'Пр. 11'!I348</f>
        <v>20.5</v>
      </c>
      <c r="I483" s="78">
        <f>'Пр. 11'!J348</f>
        <v>20.5</v>
      </c>
      <c r="J483" s="113">
        <f t="shared" si="26"/>
        <v>0</v>
      </c>
      <c r="K483" s="78">
        <f>'Пр. 11'!L348</f>
        <v>21</v>
      </c>
      <c r="L483" s="78">
        <f>'Пр. 11'!M348</f>
        <v>25</v>
      </c>
    </row>
    <row r="484" spans="1:12" s="5" customFormat="1" ht="46.5" customHeight="1">
      <c r="A484" s="128" t="s">
        <v>902</v>
      </c>
      <c r="B484" s="107" t="s">
        <v>293</v>
      </c>
      <c r="C484" s="105">
        <v>1</v>
      </c>
      <c r="D484" s="107" t="s">
        <v>215</v>
      </c>
      <c r="E484" s="107" t="s">
        <v>156</v>
      </c>
      <c r="F484" s="71"/>
      <c r="G484" s="107"/>
      <c r="H484" s="37">
        <f>H485+H488</f>
        <v>62.7</v>
      </c>
      <c r="I484" s="37">
        <f>I485+I488</f>
        <v>62.70000000000001</v>
      </c>
      <c r="J484" s="108">
        <f t="shared" si="26"/>
        <v>0</v>
      </c>
      <c r="K484" s="37">
        <f>K485+K488</f>
        <v>64.1</v>
      </c>
      <c r="L484" s="37">
        <f>L485+L488</f>
        <v>66</v>
      </c>
    </row>
    <row r="485" spans="1:12" s="5" customFormat="1" ht="55.5" customHeight="1">
      <c r="A485" s="114" t="s">
        <v>540</v>
      </c>
      <c r="B485" s="112" t="s">
        <v>293</v>
      </c>
      <c r="C485" s="129">
        <v>1</v>
      </c>
      <c r="D485" s="112" t="s">
        <v>215</v>
      </c>
      <c r="E485" s="111" t="s">
        <v>537</v>
      </c>
      <c r="F485" s="111"/>
      <c r="G485" s="112"/>
      <c r="H485" s="78">
        <f>H486</f>
        <v>40.4</v>
      </c>
      <c r="I485" s="78">
        <f>I486</f>
        <v>40.4</v>
      </c>
      <c r="J485" s="113">
        <f t="shared" si="26"/>
        <v>0</v>
      </c>
      <c r="K485" s="78">
        <f>K486</f>
        <v>40.4</v>
      </c>
      <c r="L485" s="78">
        <f>L486</f>
        <v>42</v>
      </c>
    </row>
    <row r="486" spans="1:12" s="5" customFormat="1" ht="24.75" customHeight="1">
      <c r="A486" s="114" t="s">
        <v>767</v>
      </c>
      <c r="B486" s="112" t="s">
        <v>293</v>
      </c>
      <c r="C486" s="129">
        <v>1</v>
      </c>
      <c r="D486" s="112" t="s">
        <v>215</v>
      </c>
      <c r="E486" s="111" t="s">
        <v>537</v>
      </c>
      <c r="F486" s="111" t="s">
        <v>766</v>
      </c>
      <c r="G486" s="112"/>
      <c r="H486" s="78">
        <f>H487</f>
        <v>40.4</v>
      </c>
      <c r="I486" s="78">
        <f>I487</f>
        <v>40.4</v>
      </c>
      <c r="J486" s="113">
        <f t="shared" si="26"/>
        <v>0</v>
      </c>
      <c r="K486" s="78">
        <f>K487</f>
        <v>40.4</v>
      </c>
      <c r="L486" s="78">
        <f>L487</f>
        <v>42</v>
      </c>
    </row>
    <row r="487" spans="1:12" s="5" customFormat="1" ht="23.25" customHeight="1">
      <c r="A487" s="22" t="s">
        <v>98</v>
      </c>
      <c r="B487" s="112" t="s">
        <v>293</v>
      </c>
      <c r="C487" s="129">
        <v>1</v>
      </c>
      <c r="D487" s="112" t="s">
        <v>215</v>
      </c>
      <c r="E487" s="111" t="s">
        <v>537</v>
      </c>
      <c r="F487" s="111" t="s">
        <v>766</v>
      </c>
      <c r="G487" s="112" t="s">
        <v>99</v>
      </c>
      <c r="H487" s="78">
        <f>'Пр. 11'!I351</f>
        <v>40.4</v>
      </c>
      <c r="I487" s="78">
        <f>'Пр. 11'!J351</f>
        <v>40.4</v>
      </c>
      <c r="J487" s="113">
        <f t="shared" si="26"/>
        <v>0</v>
      </c>
      <c r="K487" s="78">
        <f>'Пр. 11'!L351</f>
        <v>40.4</v>
      </c>
      <c r="L487" s="78">
        <f>'Пр. 11'!M351</f>
        <v>42</v>
      </c>
    </row>
    <row r="488" spans="1:12" s="5" customFormat="1" ht="20.25" customHeight="1">
      <c r="A488" s="22" t="s">
        <v>398</v>
      </c>
      <c r="B488" s="112" t="s">
        <v>293</v>
      </c>
      <c r="C488" s="129">
        <v>1</v>
      </c>
      <c r="D488" s="112" t="s">
        <v>215</v>
      </c>
      <c r="E488" s="111" t="s">
        <v>399</v>
      </c>
      <c r="F488" s="111"/>
      <c r="G488" s="111"/>
      <c r="H488" s="78">
        <f>H489</f>
        <v>22.3</v>
      </c>
      <c r="I488" s="78">
        <f>I489</f>
        <v>22.30000000000001</v>
      </c>
      <c r="J488" s="113">
        <f t="shared" si="26"/>
        <v>0</v>
      </c>
      <c r="K488" s="78">
        <f>K489</f>
        <v>23.7</v>
      </c>
      <c r="L488" s="78">
        <f>L489</f>
        <v>24</v>
      </c>
    </row>
    <row r="489" spans="1:12" s="5" customFormat="1" ht="23.25" customHeight="1">
      <c r="A489" s="114" t="s">
        <v>767</v>
      </c>
      <c r="B489" s="112" t="s">
        <v>293</v>
      </c>
      <c r="C489" s="129">
        <v>1</v>
      </c>
      <c r="D489" s="112" t="s">
        <v>215</v>
      </c>
      <c r="E489" s="111" t="s">
        <v>399</v>
      </c>
      <c r="F489" s="111" t="s">
        <v>766</v>
      </c>
      <c r="G489" s="112"/>
      <c r="H489" s="78">
        <f>H490</f>
        <v>22.3</v>
      </c>
      <c r="I489" s="78">
        <f>I490</f>
        <v>22.30000000000001</v>
      </c>
      <c r="J489" s="113">
        <f t="shared" si="26"/>
        <v>0</v>
      </c>
      <c r="K489" s="78">
        <f>K490</f>
        <v>23.7</v>
      </c>
      <c r="L489" s="78">
        <f>L490</f>
        <v>24</v>
      </c>
    </row>
    <row r="490" spans="1:12" s="5" customFormat="1" ht="22.5" customHeight="1">
      <c r="A490" s="22" t="s">
        <v>98</v>
      </c>
      <c r="B490" s="112" t="s">
        <v>293</v>
      </c>
      <c r="C490" s="129">
        <v>1</v>
      </c>
      <c r="D490" s="112" t="s">
        <v>215</v>
      </c>
      <c r="E490" s="111" t="s">
        <v>399</v>
      </c>
      <c r="F490" s="111" t="s">
        <v>766</v>
      </c>
      <c r="G490" s="112" t="s">
        <v>99</v>
      </c>
      <c r="H490" s="78">
        <f>'Пр. 11'!I353</f>
        <v>22.3</v>
      </c>
      <c r="I490" s="78">
        <f>'Пр. 11'!J353</f>
        <v>22.30000000000001</v>
      </c>
      <c r="J490" s="113">
        <f t="shared" si="26"/>
        <v>0</v>
      </c>
      <c r="K490" s="78">
        <f>'Пр. 11'!L353</f>
        <v>23.7</v>
      </c>
      <c r="L490" s="78">
        <f>'Пр. 11'!M353</f>
        <v>24</v>
      </c>
    </row>
    <row r="491" spans="1:12" s="5" customFormat="1" ht="39" customHeight="1">
      <c r="A491" s="128" t="s">
        <v>400</v>
      </c>
      <c r="B491" s="107" t="s">
        <v>293</v>
      </c>
      <c r="C491" s="105">
        <v>2</v>
      </c>
      <c r="D491" s="107" t="s">
        <v>155</v>
      </c>
      <c r="E491" s="107" t="s">
        <v>156</v>
      </c>
      <c r="F491" s="71"/>
      <c r="G491" s="107"/>
      <c r="H491" s="37">
        <f>H492</f>
        <v>36</v>
      </c>
      <c r="I491" s="37">
        <f>I492</f>
        <v>36</v>
      </c>
      <c r="J491" s="108">
        <f t="shared" si="26"/>
        <v>0</v>
      </c>
      <c r="K491" s="37">
        <f>K492</f>
        <v>36.8</v>
      </c>
      <c r="L491" s="37">
        <f>L492</f>
        <v>37</v>
      </c>
    </row>
    <row r="492" spans="1:12" s="5" customFormat="1" ht="46.5" customHeight="1">
      <c r="A492" s="128" t="s">
        <v>903</v>
      </c>
      <c r="B492" s="107" t="s">
        <v>293</v>
      </c>
      <c r="C492" s="105">
        <v>2</v>
      </c>
      <c r="D492" s="107" t="s">
        <v>153</v>
      </c>
      <c r="E492" s="107" t="s">
        <v>156</v>
      </c>
      <c r="F492" s="71"/>
      <c r="G492" s="107"/>
      <c r="H492" s="37">
        <f>H493+H496</f>
        <v>36</v>
      </c>
      <c r="I492" s="37">
        <f>I493+I496</f>
        <v>36</v>
      </c>
      <c r="J492" s="108">
        <f t="shared" si="26"/>
        <v>0</v>
      </c>
      <c r="K492" s="37">
        <f>K493+K496</f>
        <v>36.8</v>
      </c>
      <c r="L492" s="37">
        <f>L493+L496</f>
        <v>37</v>
      </c>
    </row>
    <row r="493" spans="1:12" s="5" customFormat="1" ht="35.25" customHeight="1">
      <c r="A493" s="114" t="s">
        <v>538</v>
      </c>
      <c r="B493" s="111" t="s">
        <v>293</v>
      </c>
      <c r="C493" s="111" t="s">
        <v>137</v>
      </c>
      <c r="D493" s="111" t="s">
        <v>153</v>
      </c>
      <c r="E493" s="111" t="s">
        <v>539</v>
      </c>
      <c r="F493" s="111"/>
      <c r="G493" s="112"/>
      <c r="H493" s="78">
        <f>H494</f>
        <v>27.1</v>
      </c>
      <c r="I493" s="78">
        <f>I494</f>
        <v>27.1</v>
      </c>
      <c r="J493" s="113">
        <f t="shared" si="26"/>
        <v>0</v>
      </c>
      <c r="K493" s="78">
        <f>K494</f>
        <v>27.9</v>
      </c>
      <c r="L493" s="78">
        <f>L494</f>
        <v>27</v>
      </c>
    </row>
    <row r="494" spans="1:12" s="5" customFormat="1" ht="24" customHeight="1">
      <c r="A494" s="114" t="s">
        <v>767</v>
      </c>
      <c r="B494" s="111" t="s">
        <v>293</v>
      </c>
      <c r="C494" s="111" t="s">
        <v>137</v>
      </c>
      <c r="D494" s="111" t="s">
        <v>153</v>
      </c>
      <c r="E494" s="111" t="s">
        <v>539</v>
      </c>
      <c r="F494" s="111" t="s">
        <v>766</v>
      </c>
      <c r="G494" s="112"/>
      <c r="H494" s="78">
        <f>H495</f>
        <v>27.1</v>
      </c>
      <c r="I494" s="78">
        <f>I495</f>
        <v>27.1</v>
      </c>
      <c r="J494" s="113">
        <f t="shared" si="26"/>
        <v>0</v>
      </c>
      <c r="K494" s="78">
        <f>K495</f>
        <v>27.9</v>
      </c>
      <c r="L494" s="78">
        <f>L495</f>
        <v>27</v>
      </c>
    </row>
    <row r="495" spans="1:12" s="4" customFormat="1" ht="21" customHeight="1">
      <c r="A495" s="22" t="s">
        <v>98</v>
      </c>
      <c r="B495" s="111" t="s">
        <v>293</v>
      </c>
      <c r="C495" s="111" t="s">
        <v>137</v>
      </c>
      <c r="D495" s="111" t="s">
        <v>153</v>
      </c>
      <c r="E495" s="111" t="s">
        <v>539</v>
      </c>
      <c r="F495" s="111" t="s">
        <v>766</v>
      </c>
      <c r="G495" s="112" t="s">
        <v>99</v>
      </c>
      <c r="H495" s="78">
        <f>'Пр. 11'!I357</f>
        <v>27.1</v>
      </c>
      <c r="I495" s="78">
        <f>'Пр. 11'!J357</f>
        <v>27.1</v>
      </c>
      <c r="J495" s="113">
        <f t="shared" si="26"/>
        <v>0</v>
      </c>
      <c r="K495" s="78">
        <f>'Пр. 11'!L357</f>
        <v>27.9</v>
      </c>
      <c r="L495" s="78">
        <f>'Пр. 11'!M357</f>
        <v>27</v>
      </c>
    </row>
    <row r="496" spans="1:12" s="4" customFormat="1" ht="39" customHeight="1">
      <c r="A496" s="114" t="s">
        <v>401</v>
      </c>
      <c r="B496" s="111" t="s">
        <v>293</v>
      </c>
      <c r="C496" s="111" t="s">
        <v>137</v>
      </c>
      <c r="D496" s="111" t="s">
        <v>153</v>
      </c>
      <c r="E496" s="111" t="s">
        <v>402</v>
      </c>
      <c r="F496" s="111"/>
      <c r="G496" s="111"/>
      <c r="H496" s="78">
        <f>H497</f>
        <v>8.9</v>
      </c>
      <c r="I496" s="78">
        <f>I497</f>
        <v>8.9</v>
      </c>
      <c r="J496" s="113">
        <f t="shared" si="26"/>
        <v>0</v>
      </c>
      <c r="K496" s="78">
        <f>K497</f>
        <v>8.9</v>
      </c>
      <c r="L496" s="78">
        <f>L497</f>
        <v>10</v>
      </c>
    </row>
    <row r="497" spans="1:12" s="4" customFormat="1" ht="21" customHeight="1">
      <c r="A497" s="114" t="s">
        <v>767</v>
      </c>
      <c r="B497" s="111" t="s">
        <v>293</v>
      </c>
      <c r="C497" s="111" t="s">
        <v>137</v>
      </c>
      <c r="D497" s="111" t="s">
        <v>153</v>
      </c>
      <c r="E497" s="111" t="s">
        <v>402</v>
      </c>
      <c r="F497" s="111" t="s">
        <v>766</v>
      </c>
      <c r="G497" s="111"/>
      <c r="H497" s="78">
        <f>H498</f>
        <v>8.9</v>
      </c>
      <c r="I497" s="78">
        <f>I498</f>
        <v>8.9</v>
      </c>
      <c r="J497" s="113">
        <f t="shared" si="26"/>
        <v>0</v>
      </c>
      <c r="K497" s="78">
        <f>K498</f>
        <v>8.9</v>
      </c>
      <c r="L497" s="78">
        <f>L498</f>
        <v>10</v>
      </c>
    </row>
    <row r="498" spans="1:12" s="4" customFormat="1" ht="24" customHeight="1">
      <c r="A498" s="22" t="s">
        <v>98</v>
      </c>
      <c r="B498" s="111" t="s">
        <v>293</v>
      </c>
      <c r="C498" s="111" t="s">
        <v>137</v>
      </c>
      <c r="D498" s="111" t="s">
        <v>153</v>
      </c>
      <c r="E498" s="111" t="s">
        <v>402</v>
      </c>
      <c r="F498" s="111" t="s">
        <v>766</v>
      </c>
      <c r="G498" s="112" t="s">
        <v>99</v>
      </c>
      <c r="H498" s="78">
        <f>'Пр. 11'!I359</f>
        <v>8.9</v>
      </c>
      <c r="I498" s="78">
        <f>'Пр. 11'!J359</f>
        <v>8.9</v>
      </c>
      <c r="J498" s="113">
        <f t="shared" si="26"/>
        <v>0</v>
      </c>
      <c r="K498" s="78">
        <f>'Пр. 11'!L359</f>
        <v>8.9</v>
      </c>
      <c r="L498" s="78">
        <f>'Пр. 11'!M359</f>
        <v>10</v>
      </c>
    </row>
    <row r="499" spans="1:12" s="4" customFormat="1" ht="51.75" customHeight="1">
      <c r="A499" s="122" t="s">
        <v>296</v>
      </c>
      <c r="B499" s="71" t="s">
        <v>297</v>
      </c>
      <c r="C499" s="71" t="s">
        <v>154</v>
      </c>
      <c r="D499" s="71" t="s">
        <v>155</v>
      </c>
      <c r="E499" s="71" t="s">
        <v>156</v>
      </c>
      <c r="F499" s="71"/>
      <c r="G499" s="107"/>
      <c r="H499" s="37">
        <f>H500+H512+H523+H534</f>
        <v>172555.3</v>
      </c>
      <c r="I499" s="37">
        <f>I500+I512+I523+I534</f>
        <v>172555.3</v>
      </c>
      <c r="J499" s="108">
        <f t="shared" si="26"/>
        <v>0</v>
      </c>
      <c r="K499" s="37">
        <f>K500+K512+K523+K534</f>
        <v>11954.099999999999</v>
      </c>
      <c r="L499" s="37">
        <f>L500+L512+L523+L534</f>
        <v>12476.3</v>
      </c>
    </row>
    <row r="500" spans="1:12" s="4" customFormat="1" ht="53.25" customHeight="1">
      <c r="A500" s="109" t="s">
        <v>906</v>
      </c>
      <c r="B500" s="71" t="s">
        <v>297</v>
      </c>
      <c r="C500" s="71" t="s">
        <v>136</v>
      </c>
      <c r="D500" s="71" t="s">
        <v>155</v>
      </c>
      <c r="E500" s="71" t="s">
        <v>156</v>
      </c>
      <c r="F500" s="71"/>
      <c r="G500" s="107"/>
      <c r="H500" s="37">
        <f>H505+H501</f>
        <v>8729.5</v>
      </c>
      <c r="I500" s="37">
        <f>I505+I501</f>
        <v>8729.5</v>
      </c>
      <c r="J500" s="108">
        <f t="shared" si="26"/>
        <v>0</v>
      </c>
      <c r="K500" s="37">
        <f>K505+K501</f>
        <v>3726.9999999999995</v>
      </c>
      <c r="L500" s="37">
        <f>L505+L501</f>
        <v>7146.2</v>
      </c>
    </row>
    <row r="501" spans="1:12" s="4" customFormat="1" ht="53.25" customHeight="1">
      <c r="A501" s="139" t="s">
        <v>1148</v>
      </c>
      <c r="B501" s="107" t="s">
        <v>297</v>
      </c>
      <c r="C501" s="107" t="s">
        <v>136</v>
      </c>
      <c r="D501" s="107" t="s">
        <v>153</v>
      </c>
      <c r="E501" s="107" t="s">
        <v>156</v>
      </c>
      <c r="F501" s="105"/>
      <c r="G501" s="107"/>
      <c r="H501" s="37">
        <f aca="true" t="shared" si="32" ref="H501:I503">H502</f>
        <v>855.3</v>
      </c>
      <c r="I501" s="37">
        <f t="shared" si="32"/>
        <v>855.3</v>
      </c>
      <c r="J501" s="108">
        <f t="shared" si="26"/>
        <v>0</v>
      </c>
      <c r="K501" s="37">
        <f aca="true" t="shared" si="33" ref="K501:L503">K502</f>
        <v>0</v>
      </c>
      <c r="L501" s="37">
        <f t="shared" si="33"/>
        <v>0</v>
      </c>
    </row>
    <row r="502" spans="1:12" s="4" customFormat="1" ht="36.75" customHeight="1">
      <c r="A502" s="121" t="s">
        <v>1149</v>
      </c>
      <c r="B502" s="112" t="s">
        <v>297</v>
      </c>
      <c r="C502" s="112" t="s">
        <v>136</v>
      </c>
      <c r="D502" s="112" t="s">
        <v>153</v>
      </c>
      <c r="E502" s="112" t="s">
        <v>1150</v>
      </c>
      <c r="F502" s="129"/>
      <c r="G502" s="107"/>
      <c r="H502" s="78">
        <f t="shared" si="32"/>
        <v>855.3</v>
      </c>
      <c r="I502" s="78">
        <f t="shared" si="32"/>
        <v>855.3</v>
      </c>
      <c r="J502" s="113">
        <f t="shared" si="26"/>
        <v>0</v>
      </c>
      <c r="K502" s="78">
        <f t="shared" si="33"/>
        <v>0</v>
      </c>
      <c r="L502" s="78">
        <f t="shared" si="33"/>
        <v>0</v>
      </c>
    </row>
    <row r="503" spans="1:12" s="4" customFormat="1" ht="36.75" customHeight="1">
      <c r="A503" s="123" t="s">
        <v>758</v>
      </c>
      <c r="B503" s="112" t="s">
        <v>297</v>
      </c>
      <c r="C503" s="112" t="s">
        <v>136</v>
      </c>
      <c r="D503" s="112" t="s">
        <v>153</v>
      </c>
      <c r="E503" s="112" t="s">
        <v>1150</v>
      </c>
      <c r="F503" s="129">
        <v>200</v>
      </c>
      <c r="G503" s="107"/>
      <c r="H503" s="78">
        <f t="shared" si="32"/>
        <v>855.3</v>
      </c>
      <c r="I503" s="78">
        <f t="shared" si="32"/>
        <v>855.3</v>
      </c>
      <c r="J503" s="113">
        <f t="shared" si="26"/>
        <v>0</v>
      </c>
      <c r="K503" s="78">
        <f t="shared" si="33"/>
        <v>0</v>
      </c>
      <c r="L503" s="78">
        <f t="shared" si="33"/>
        <v>0</v>
      </c>
    </row>
    <row r="504" spans="1:12" s="4" customFormat="1" ht="21.75" customHeight="1">
      <c r="A504" s="73" t="s">
        <v>72</v>
      </c>
      <c r="B504" s="112" t="s">
        <v>297</v>
      </c>
      <c r="C504" s="112" t="s">
        <v>136</v>
      </c>
      <c r="D504" s="112" t="s">
        <v>153</v>
      </c>
      <c r="E504" s="112" t="s">
        <v>1150</v>
      </c>
      <c r="F504" s="129">
        <v>200</v>
      </c>
      <c r="G504" s="112" t="s">
        <v>73</v>
      </c>
      <c r="H504" s="78">
        <f>'Пр. 11'!I735</f>
        <v>855.3</v>
      </c>
      <c r="I504" s="78">
        <f>'Пр. 11'!J735</f>
        <v>855.3</v>
      </c>
      <c r="J504" s="113">
        <f t="shared" si="26"/>
        <v>0</v>
      </c>
      <c r="K504" s="78">
        <f>'Пр. 11'!L735</f>
        <v>0</v>
      </c>
      <c r="L504" s="78">
        <f>'Пр. 11'!M735</f>
        <v>0</v>
      </c>
    </row>
    <row r="505" spans="1:12" s="5" customFormat="1" ht="44.25" customHeight="1">
      <c r="A505" s="163" t="s">
        <v>907</v>
      </c>
      <c r="B505" s="71" t="s">
        <v>297</v>
      </c>
      <c r="C505" s="71" t="s">
        <v>136</v>
      </c>
      <c r="D505" s="71" t="s">
        <v>180</v>
      </c>
      <c r="E505" s="71" t="s">
        <v>156</v>
      </c>
      <c r="F505" s="71"/>
      <c r="G505" s="107"/>
      <c r="H505" s="37">
        <f>H506+H509</f>
        <v>7874.2</v>
      </c>
      <c r="I505" s="37">
        <f>I506+I509</f>
        <v>7874.2</v>
      </c>
      <c r="J505" s="108">
        <f t="shared" si="26"/>
        <v>0</v>
      </c>
      <c r="K505" s="37">
        <f>K506+K509</f>
        <v>3726.9999999999995</v>
      </c>
      <c r="L505" s="37">
        <f>L506+L509</f>
        <v>7146.2</v>
      </c>
    </row>
    <row r="506" spans="1:12" s="4" customFormat="1" ht="22.5" customHeight="1">
      <c r="A506" s="114" t="s">
        <v>298</v>
      </c>
      <c r="B506" s="111" t="s">
        <v>297</v>
      </c>
      <c r="C506" s="111" t="s">
        <v>136</v>
      </c>
      <c r="D506" s="111" t="s">
        <v>180</v>
      </c>
      <c r="E506" s="111" t="s">
        <v>299</v>
      </c>
      <c r="F506" s="111"/>
      <c r="G506" s="112"/>
      <c r="H506" s="78">
        <f aca="true" t="shared" si="34" ref="H506:L507">H507</f>
        <v>3833.5</v>
      </c>
      <c r="I506" s="78">
        <f t="shared" si="34"/>
        <v>3833.5</v>
      </c>
      <c r="J506" s="113">
        <f t="shared" si="26"/>
        <v>0</v>
      </c>
      <c r="K506" s="78">
        <f t="shared" si="34"/>
        <v>1921.9</v>
      </c>
      <c r="L506" s="78">
        <f t="shared" si="34"/>
        <v>3500</v>
      </c>
    </row>
    <row r="507" spans="1:12" s="4" customFormat="1" ht="18" customHeight="1">
      <c r="A507" s="119" t="s">
        <v>759</v>
      </c>
      <c r="B507" s="111" t="s">
        <v>297</v>
      </c>
      <c r="C507" s="111" t="s">
        <v>136</v>
      </c>
      <c r="D507" s="111" t="s">
        <v>180</v>
      </c>
      <c r="E507" s="111" t="s">
        <v>299</v>
      </c>
      <c r="F507" s="111" t="s">
        <v>760</v>
      </c>
      <c r="G507" s="112"/>
      <c r="H507" s="78">
        <f t="shared" si="34"/>
        <v>3833.5</v>
      </c>
      <c r="I507" s="78">
        <f t="shared" si="34"/>
        <v>3833.5</v>
      </c>
      <c r="J507" s="113">
        <f t="shared" si="26"/>
        <v>0</v>
      </c>
      <c r="K507" s="78">
        <f t="shared" si="34"/>
        <v>1921.9</v>
      </c>
      <c r="L507" s="78">
        <f t="shared" si="34"/>
        <v>3500</v>
      </c>
    </row>
    <row r="508" spans="1:12" s="4" customFormat="1" ht="17.25" customHeight="1">
      <c r="A508" s="119" t="s">
        <v>64</v>
      </c>
      <c r="B508" s="111" t="s">
        <v>297</v>
      </c>
      <c r="C508" s="111" t="s">
        <v>136</v>
      </c>
      <c r="D508" s="111" t="s">
        <v>180</v>
      </c>
      <c r="E508" s="111" t="s">
        <v>299</v>
      </c>
      <c r="F508" s="111" t="s">
        <v>760</v>
      </c>
      <c r="G508" s="112" t="s">
        <v>65</v>
      </c>
      <c r="H508" s="78">
        <f>'Пр. 11'!I171</f>
        <v>3833.5</v>
      </c>
      <c r="I508" s="78">
        <f>'Пр. 11'!J171</f>
        <v>3833.5</v>
      </c>
      <c r="J508" s="113">
        <f t="shared" si="26"/>
        <v>0</v>
      </c>
      <c r="K508" s="78">
        <f>'Пр. 11'!L171</f>
        <v>1921.9</v>
      </c>
      <c r="L508" s="78">
        <f>'Пр. 11'!M171</f>
        <v>3500</v>
      </c>
    </row>
    <row r="509" spans="1:12" s="4" customFormat="1" ht="26.25" customHeight="1">
      <c r="A509" s="114" t="s">
        <v>908</v>
      </c>
      <c r="B509" s="111" t="s">
        <v>297</v>
      </c>
      <c r="C509" s="111" t="s">
        <v>136</v>
      </c>
      <c r="D509" s="111" t="s">
        <v>180</v>
      </c>
      <c r="E509" s="111" t="s">
        <v>300</v>
      </c>
      <c r="F509" s="111"/>
      <c r="G509" s="112"/>
      <c r="H509" s="78">
        <f>H510</f>
        <v>4040.7</v>
      </c>
      <c r="I509" s="78">
        <f>I510</f>
        <v>4040.7</v>
      </c>
      <c r="J509" s="113">
        <f t="shared" si="26"/>
        <v>0</v>
      </c>
      <c r="K509" s="78">
        <f>K510</f>
        <v>1805.0999999999995</v>
      </c>
      <c r="L509" s="78">
        <f>L510</f>
        <v>3646.2</v>
      </c>
    </row>
    <row r="510" spans="1:12" s="4" customFormat="1" ht="26.25" customHeight="1">
      <c r="A510" s="119" t="s">
        <v>759</v>
      </c>
      <c r="B510" s="111" t="s">
        <v>297</v>
      </c>
      <c r="C510" s="111" t="s">
        <v>136</v>
      </c>
      <c r="D510" s="111" t="s">
        <v>180</v>
      </c>
      <c r="E510" s="111" t="s">
        <v>300</v>
      </c>
      <c r="F510" s="111" t="s">
        <v>760</v>
      </c>
      <c r="G510" s="112"/>
      <c r="H510" s="78">
        <f>H511</f>
        <v>4040.7</v>
      </c>
      <c r="I510" s="78">
        <f>I511</f>
        <v>4040.7</v>
      </c>
      <c r="J510" s="113">
        <f t="shared" si="26"/>
        <v>0</v>
      </c>
      <c r="K510" s="78">
        <f>K511</f>
        <v>1805.0999999999995</v>
      </c>
      <c r="L510" s="78">
        <f>L511</f>
        <v>3646.2</v>
      </c>
    </row>
    <row r="511" spans="1:12" s="4" customFormat="1" ht="17.25" customHeight="1">
      <c r="A511" s="119" t="s">
        <v>64</v>
      </c>
      <c r="B511" s="111" t="s">
        <v>297</v>
      </c>
      <c r="C511" s="111" t="s">
        <v>136</v>
      </c>
      <c r="D511" s="111" t="s">
        <v>180</v>
      </c>
      <c r="E511" s="111" t="s">
        <v>300</v>
      </c>
      <c r="F511" s="111" t="s">
        <v>760</v>
      </c>
      <c r="G511" s="112" t="s">
        <v>65</v>
      </c>
      <c r="H511" s="78">
        <f>'Пр. 11'!I173</f>
        <v>4040.7</v>
      </c>
      <c r="I511" s="78">
        <f>'Пр. 11'!J173</f>
        <v>4040.7</v>
      </c>
      <c r="J511" s="113">
        <f t="shared" si="26"/>
        <v>0</v>
      </c>
      <c r="K511" s="78">
        <f>'Пр. 11'!L173</f>
        <v>1805.0999999999995</v>
      </c>
      <c r="L511" s="78">
        <f>'Пр. 11'!M173</f>
        <v>3646.2</v>
      </c>
    </row>
    <row r="512" spans="1:12" s="5" customFormat="1" ht="40.5" customHeight="1">
      <c r="A512" s="109" t="s">
        <v>305</v>
      </c>
      <c r="B512" s="71" t="s">
        <v>297</v>
      </c>
      <c r="C512" s="71" t="s">
        <v>137</v>
      </c>
      <c r="D512" s="71" t="s">
        <v>155</v>
      </c>
      <c r="E512" s="71" t="s">
        <v>156</v>
      </c>
      <c r="F512" s="71"/>
      <c r="G512" s="107"/>
      <c r="H512" s="37">
        <f>H513</f>
        <v>3540.3</v>
      </c>
      <c r="I512" s="37">
        <f>I513</f>
        <v>3540.3</v>
      </c>
      <c r="J512" s="108">
        <f t="shared" si="26"/>
        <v>0</v>
      </c>
      <c r="K512" s="37">
        <f>K513</f>
        <v>3564.8</v>
      </c>
      <c r="L512" s="37">
        <f>L513</f>
        <v>3621.8</v>
      </c>
    </row>
    <row r="513" spans="1:12" s="5" customFormat="1" ht="35.25" customHeight="1">
      <c r="A513" s="136" t="s">
        <v>909</v>
      </c>
      <c r="B513" s="71" t="s">
        <v>297</v>
      </c>
      <c r="C513" s="71" t="s">
        <v>137</v>
      </c>
      <c r="D513" s="71" t="s">
        <v>153</v>
      </c>
      <c r="E513" s="71" t="s">
        <v>156</v>
      </c>
      <c r="F513" s="71"/>
      <c r="G513" s="107"/>
      <c r="H513" s="37">
        <f>H514+H517+H520</f>
        <v>3540.3</v>
      </c>
      <c r="I513" s="37">
        <f>I514+I517+I520</f>
        <v>3540.3</v>
      </c>
      <c r="J513" s="108">
        <f t="shared" si="26"/>
        <v>0</v>
      </c>
      <c r="K513" s="37">
        <f>K514+K517+K520</f>
        <v>3564.8</v>
      </c>
      <c r="L513" s="37">
        <f>L514+L517+L520</f>
        <v>3621.8</v>
      </c>
    </row>
    <row r="514" spans="1:12" s="4" customFormat="1" ht="37.5" customHeight="1">
      <c r="A514" s="119" t="s">
        <v>306</v>
      </c>
      <c r="B514" s="111" t="s">
        <v>297</v>
      </c>
      <c r="C514" s="111" t="s">
        <v>137</v>
      </c>
      <c r="D514" s="111" t="s">
        <v>153</v>
      </c>
      <c r="E514" s="111" t="s">
        <v>307</v>
      </c>
      <c r="F514" s="111"/>
      <c r="G514" s="112"/>
      <c r="H514" s="78">
        <f>H515</f>
        <v>644.1</v>
      </c>
      <c r="I514" s="78">
        <f>I515</f>
        <v>644.1</v>
      </c>
      <c r="J514" s="113">
        <f t="shared" si="26"/>
        <v>0</v>
      </c>
      <c r="K514" s="78">
        <f>K515</f>
        <v>659</v>
      </c>
      <c r="L514" s="78">
        <f>L515</f>
        <v>700</v>
      </c>
    </row>
    <row r="515" spans="1:12" s="4" customFormat="1" ht="20.25" customHeight="1">
      <c r="A515" s="119" t="s">
        <v>759</v>
      </c>
      <c r="B515" s="111" t="s">
        <v>297</v>
      </c>
      <c r="C515" s="111" t="s">
        <v>137</v>
      </c>
      <c r="D515" s="111" t="s">
        <v>153</v>
      </c>
      <c r="E515" s="111" t="s">
        <v>307</v>
      </c>
      <c r="F515" s="111" t="s">
        <v>760</v>
      </c>
      <c r="G515" s="112"/>
      <c r="H515" s="78">
        <f>H516</f>
        <v>644.1</v>
      </c>
      <c r="I515" s="78">
        <f>I516</f>
        <v>644.1</v>
      </c>
      <c r="J515" s="113">
        <f t="shared" si="26"/>
        <v>0</v>
      </c>
      <c r="K515" s="78">
        <f>K516</f>
        <v>659</v>
      </c>
      <c r="L515" s="78">
        <f>L516</f>
        <v>700</v>
      </c>
    </row>
    <row r="516" spans="1:12" s="4" customFormat="1" ht="26.25" customHeight="1">
      <c r="A516" s="127" t="s">
        <v>303</v>
      </c>
      <c r="B516" s="111" t="s">
        <v>297</v>
      </c>
      <c r="C516" s="111" t="s">
        <v>137</v>
      </c>
      <c r="D516" s="111" t="s">
        <v>153</v>
      </c>
      <c r="E516" s="111" t="s">
        <v>307</v>
      </c>
      <c r="F516" s="111" t="s">
        <v>760</v>
      </c>
      <c r="G516" s="112" t="s">
        <v>65</v>
      </c>
      <c r="H516" s="78">
        <f>'Пр. 11'!I177</f>
        <v>644.1</v>
      </c>
      <c r="I516" s="78">
        <f>'Пр. 11'!J177</f>
        <v>644.1</v>
      </c>
      <c r="J516" s="113">
        <f t="shared" si="26"/>
        <v>0</v>
      </c>
      <c r="K516" s="78">
        <f>'Пр. 11'!L177</f>
        <v>659</v>
      </c>
      <c r="L516" s="78">
        <f>'Пр. 11'!M177</f>
        <v>700</v>
      </c>
    </row>
    <row r="517" spans="1:12" s="4" customFormat="1" ht="23.25" customHeight="1">
      <c r="A517" s="127" t="s">
        <v>759</v>
      </c>
      <c r="B517" s="111" t="s">
        <v>297</v>
      </c>
      <c r="C517" s="111" t="s">
        <v>137</v>
      </c>
      <c r="D517" s="111" t="s">
        <v>153</v>
      </c>
      <c r="E517" s="111" t="s">
        <v>308</v>
      </c>
      <c r="F517" s="111"/>
      <c r="G517" s="112"/>
      <c r="H517" s="78">
        <f>H518</f>
        <v>414.4</v>
      </c>
      <c r="I517" s="78">
        <f>I518</f>
        <v>414.4</v>
      </c>
      <c r="J517" s="113">
        <f t="shared" si="26"/>
        <v>0</v>
      </c>
      <c r="K517" s="78">
        <f>K518</f>
        <v>424</v>
      </c>
      <c r="L517" s="78">
        <f>L518</f>
        <v>440</v>
      </c>
    </row>
    <row r="518" spans="1:12" s="5" customFormat="1" ht="36.75" customHeight="1">
      <c r="A518" s="119" t="s">
        <v>763</v>
      </c>
      <c r="B518" s="111" t="s">
        <v>297</v>
      </c>
      <c r="C518" s="111" t="s">
        <v>137</v>
      </c>
      <c r="D518" s="111" t="s">
        <v>153</v>
      </c>
      <c r="E518" s="111" t="s">
        <v>308</v>
      </c>
      <c r="F518" s="111" t="s">
        <v>764</v>
      </c>
      <c r="G518" s="112"/>
      <c r="H518" s="78">
        <f>H519</f>
        <v>414.4</v>
      </c>
      <c r="I518" s="78">
        <f>I519</f>
        <v>414.4</v>
      </c>
      <c r="J518" s="113">
        <f t="shared" si="26"/>
        <v>0</v>
      </c>
      <c r="K518" s="78">
        <f>K519</f>
        <v>424</v>
      </c>
      <c r="L518" s="78">
        <f>L519</f>
        <v>440</v>
      </c>
    </row>
    <row r="519" spans="1:12" s="4" customFormat="1" ht="23.25" customHeight="1">
      <c r="A519" s="119" t="s">
        <v>72</v>
      </c>
      <c r="B519" s="111" t="s">
        <v>297</v>
      </c>
      <c r="C519" s="111" t="s">
        <v>137</v>
      </c>
      <c r="D519" s="111" t="s">
        <v>153</v>
      </c>
      <c r="E519" s="111" t="s">
        <v>308</v>
      </c>
      <c r="F519" s="111" t="s">
        <v>764</v>
      </c>
      <c r="G519" s="112" t="s">
        <v>73</v>
      </c>
      <c r="H519" s="78">
        <f>'Пр. 11'!I219</f>
        <v>414.4</v>
      </c>
      <c r="I519" s="78">
        <f>'Пр. 11'!J219</f>
        <v>414.4</v>
      </c>
      <c r="J519" s="113">
        <f t="shared" si="26"/>
        <v>0</v>
      </c>
      <c r="K519" s="78">
        <f>'Пр. 11'!L219</f>
        <v>424</v>
      </c>
      <c r="L519" s="78">
        <f>'Пр. 11'!M219</f>
        <v>440</v>
      </c>
    </row>
    <row r="520" spans="1:12" s="4" customFormat="1" ht="23.25" customHeight="1">
      <c r="A520" s="127" t="s">
        <v>303</v>
      </c>
      <c r="B520" s="111" t="s">
        <v>297</v>
      </c>
      <c r="C520" s="111" t="s">
        <v>137</v>
      </c>
      <c r="D520" s="111" t="s">
        <v>153</v>
      </c>
      <c r="E520" s="111" t="s">
        <v>304</v>
      </c>
      <c r="F520" s="111"/>
      <c r="G520" s="112"/>
      <c r="H520" s="78">
        <f>H521</f>
        <v>2481.8</v>
      </c>
      <c r="I520" s="78">
        <f>I521</f>
        <v>2481.8</v>
      </c>
      <c r="J520" s="113">
        <f t="shared" si="26"/>
        <v>0</v>
      </c>
      <c r="K520" s="78">
        <f>K521</f>
        <v>2481.8</v>
      </c>
      <c r="L520" s="78">
        <f>L521</f>
        <v>2481.8</v>
      </c>
    </row>
    <row r="521" spans="1:12" s="4" customFormat="1" ht="23.25" customHeight="1">
      <c r="A521" s="127" t="s">
        <v>759</v>
      </c>
      <c r="B521" s="111" t="s">
        <v>297</v>
      </c>
      <c r="C521" s="111" t="s">
        <v>137</v>
      </c>
      <c r="D521" s="111" t="s">
        <v>153</v>
      </c>
      <c r="E521" s="111" t="s">
        <v>304</v>
      </c>
      <c r="F521" s="111" t="s">
        <v>760</v>
      </c>
      <c r="G521" s="112"/>
      <c r="H521" s="78">
        <f>H522</f>
        <v>2481.8</v>
      </c>
      <c r="I521" s="78">
        <f>I522</f>
        <v>2481.8</v>
      </c>
      <c r="J521" s="113">
        <f t="shared" si="26"/>
        <v>0</v>
      </c>
      <c r="K521" s="78">
        <f>K522</f>
        <v>2481.8</v>
      </c>
      <c r="L521" s="78">
        <f>L522</f>
        <v>2481.8</v>
      </c>
    </row>
    <row r="522" spans="1:12" s="4" customFormat="1" ht="23.25" customHeight="1">
      <c r="A522" s="127" t="s">
        <v>303</v>
      </c>
      <c r="B522" s="111" t="s">
        <v>297</v>
      </c>
      <c r="C522" s="111" t="s">
        <v>137</v>
      </c>
      <c r="D522" s="111" t="s">
        <v>153</v>
      </c>
      <c r="E522" s="111" t="s">
        <v>304</v>
      </c>
      <c r="F522" s="111" t="s">
        <v>760</v>
      </c>
      <c r="G522" s="112" t="s">
        <v>65</v>
      </c>
      <c r="H522" s="78">
        <f>'Пр. 11'!I179</f>
        <v>2481.8</v>
      </c>
      <c r="I522" s="78">
        <f>'Пр. 11'!J179</f>
        <v>2481.8</v>
      </c>
      <c r="J522" s="113">
        <f t="shared" si="26"/>
        <v>0</v>
      </c>
      <c r="K522" s="78">
        <f>'Пр. 11'!L179</f>
        <v>2481.8</v>
      </c>
      <c r="L522" s="78">
        <f>'Пр. 11'!M179</f>
        <v>2481.8</v>
      </c>
    </row>
    <row r="523" spans="1:12" s="5" customFormat="1" ht="40.5" customHeight="1">
      <c r="A523" s="109" t="s">
        <v>925</v>
      </c>
      <c r="B523" s="71" t="s">
        <v>297</v>
      </c>
      <c r="C523" s="71" t="s">
        <v>139</v>
      </c>
      <c r="D523" s="71" t="s">
        <v>155</v>
      </c>
      <c r="E523" s="71" t="s">
        <v>156</v>
      </c>
      <c r="F523" s="71"/>
      <c r="G523" s="107"/>
      <c r="H523" s="37">
        <f aca="true" t="shared" si="35" ref="H523:I526">H524</f>
        <v>158385.7</v>
      </c>
      <c r="I523" s="37">
        <f t="shared" si="35"/>
        <v>158385.7</v>
      </c>
      <c r="J523" s="108">
        <f t="shared" si="26"/>
        <v>0</v>
      </c>
      <c r="K523" s="37">
        <f aca="true" t="shared" si="36" ref="K523:L526">K524</f>
        <v>3000</v>
      </c>
      <c r="L523" s="37">
        <f t="shared" si="36"/>
        <v>0</v>
      </c>
    </row>
    <row r="524" spans="1:12" s="5" customFormat="1" ht="65.25" customHeight="1">
      <c r="A524" s="109" t="s">
        <v>926</v>
      </c>
      <c r="B524" s="71" t="s">
        <v>297</v>
      </c>
      <c r="C524" s="71" t="s">
        <v>139</v>
      </c>
      <c r="D524" s="71" t="s">
        <v>153</v>
      </c>
      <c r="E524" s="71" t="s">
        <v>156</v>
      </c>
      <c r="F524" s="71"/>
      <c r="G524" s="107"/>
      <c r="H524" s="37">
        <f>H525+H528+H531</f>
        <v>158385.7</v>
      </c>
      <c r="I524" s="37">
        <f>I525+I528+I531</f>
        <v>158385.7</v>
      </c>
      <c r="J524" s="108">
        <f t="shared" si="26"/>
        <v>0</v>
      </c>
      <c r="K524" s="37">
        <f>K525+K528+K531</f>
        <v>3000</v>
      </c>
      <c r="L524" s="37">
        <f>L525+L528+L531</f>
        <v>0</v>
      </c>
    </row>
    <row r="525" spans="1:12" s="4" customFormat="1" ht="130.5" customHeight="1">
      <c r="A525" s="119" t="s">
        <v>529</v>
      </c>
      <c r="B525" s="111" t="s">
        <v>297</v>
      </c>
      <c r="C525" s="111" t="s">
        <v>139</v>
      </c>
      <c r="D525" s="111" t="s">
        <v>153</v>
      </c>
      <c r="E525" s="111" t="s">
        <v>528</v>
      </c>
      <c r="F525" s="111"/>
      <c r="G525" s="112"/>
      <c r="H525" s="78">
        <f t="shared" si="35"/>
        <v>149073.1</v>
      </c>
      <c r="I525" s="78">
        <f t="shared" si="35"/>
        <v>149073.1</v>
      </c>
      <c r="J525" s="113">
        <f t="shared" si="26"/>
        <v>0</v>
      </c>
      <c r="K525" s="78">
        <f t="shared" si="36"/>
        <v>3000</v>
      </c>
      <c r="L525" s="78">
        <f t="shared" si="36"/>
        <v>0</v>
      </c>
    </row>
    <row r="526" spans="1:12" s="4" customFormat="1" ht="34.5" customHeight="1">
      <c r="A526" s="123" t="s">
        <v>769</v>
      </c>
      <c r="B526" s="111" t="s">
        <v>297</v>
      </c>
      <c r="C526" s="111" t="s">
        <v>139</v>
      </c>
      <c r="D526" s="111" t="s">
        <v>153</v>
      </c>
      <c r="E526" s="111" t="s">
        <v>528</v>
      </c>
      <c r="F526" s="111" t="s">
        <v>768</v>
      </c>
      <c r="G526" s="112"/>
      <c r="H526" s="78">
        <f t="shared" si="35"/>
        <v>149073.1</v>
      </c>
      <c r="I526" s="78">
        <f t="shared" si="35"/>
        <v>149073.1</v>
      </c>
      <c r="J526" s="113">
        <f t="shared" si="26"/>
        <v>0</v>
      </c>
      <c r="K526" s="78">
        <f t="shared" si="36"/>
        <v>3000</v>
      </c>
      <c r="L526" s="78">
        <f t="shared" si="36"/>
        <v>0</v>
      </c>
    </row>
    <row r="527" spans="1:12" s="4" customFormat="1" ht="23.25" customHeight="1">
      <c r="A527" s="73" t="s">
        <v>68</v>
      </c>
      <c r="B527" s="111" t="s">
        <v>297</v>
      </c>
      <c r="C527" s="111" t="s">
        <v>139</v>
      </c>
      <c r="D527" s="111" t="s">
        <v>153</v>
      </c>
      <c r="E527" s="111" t="s">
        <v>528</v>
      </c>
      <c r="F527" s="111" t="s">
        <v>768</v>
      </c>
      <c r="G527" s="112" t="s">
        <v>69</v>
      </c>
      <c r="H527" s="78">
        <f>'Пр. 11'!I884</f>
        <v>149073.1</v>
      </c>
      <c r="I527" s="78">
        <f>'Пр. 11'!J884</f>
        <v>149073.1</v>
      </c>
      <c r="J527" s="113">
        <f t="shared" si="26"/>
        <v>0</v>
      </c>
      <c r="K527" s="78">
        <f>'Пр. 11'!L884</f>
        <v>3000</v>
      </c>
      <c r="L527" s="78">
        <f>'Пр. 11'!M884</f>
        <v>0</v>
      </c>
    </row>
    <row r="528" spans="1:12" s="4" customFormat="1" ht="35.25" customHeight="1">
      <c r="A528" s="121" t="s">
        <v>1179</v>
      </c>
      <c r="B528" s="112" t="s">
        <v>297</v>
      </c>
      <c r="C528" s="112" t="s">
        <v>139</v>
      </c>
      <c r="D528" s="111" t="s">
        <v>153</v>
      </c>
      <c r="E528" s="112" t="s">
        <v>1177</v>
      </c>
      <c r="F528" s="111"/>
      <c r="G528" s="112"/>
      <c r="H528" s="78">
        <f>H529</f>
        <v>3800</v>
      </c>
      <c r="I528" s="78">
        <f>I529</f>
        <v>3800</v>
      </c>
      <c r="J528" s="113">
        <f t="shared" si="26"/>
        <v>0</v>
      </c>
      <c r="K528" s="78">
        <f>K529</f>
        <v>0</v>
      </c>
      <c r="L528" s="78">
        <f>L529</f>
        <v>0</v>
      </c>
    </row>
    <row r="529" spans="1:12" s="4" customFormat="1" ht="34.5" customHeight="1">
      <c r="A529" s="123" t="s">
        <v>758</v>
      </c>
      <c r="B529" s="112" t="s">
        <v>297</v>
      </c>
      <c r="C529" s="112" t="s">
        <v>139</v>
      </c>
      <c r="D529" s="111" t="s">
        <v>153</v>
      </c>
      <c r="E529" s="112" t="s">
        <v>1177</v>
      </c>
      <c r="F529" s="111" t="s">
        <v>757</v>
      </c>
      <c r="G529" s="112"/>
      <c r="H529" s="78">
        <f>H530</f>
        <v>3800</v>
      </c>
      <c r="I529" s="78">
        <f>I530</f>
        <v>3800</v>
      </c>
      <c r="J529" s="113">
        <f t="shared" si="26"/>
        <v>0</v>
      </c>
      <c r="K529" s="78">
        <f>K530</f>
        <v>0</v>
      </c>
      <c r="L529" s="78">
        <f>L530</f>
        <v>0</v>
      </c>
    </row>
    <row r="530" spans="1:12" s="4" customFormat="1" ht="23.25" customHeight="1">
      <c r="A530" s="73" t="s">
        <v>68</v>
      </c>
      <c r="B530" s="112" t="s">
        <v>297</v>
      </c>
      <c r="C530" s="112" t="s">
        <v>139</v>
      </c>
      <c r="D530" s="111" t="s">
        <v>153</v>
      </c>
      <c r="E530" s="112" t="s">
        <v>1177</v>
      </c>
      <c r="F530" s="111" t="s">
        <v>757</v>
      </c>
      <c r="G530" s="112" t="s">
        <v>69</v>
      </c>
      <c r="H530" s="78">
        <f>'Пр. 11'!I886</f>
        <v>3800</v>
      </c>
      <c r="I530" s="78">
        <f>'Пр. 11'!J886</f>
        <v>3800</v>
      </c>
      <c r="J530" s="113">
        <f t="shared" si="26"/>
        <v>0</v>
      </c>
      <c r="K530" s="78">
        <f>'Пр. 11'!L886</f>
        <v>0</v>
      </c>
      <c r="L530" s="78">
        <f>'Пр. 11'!M886</f>
        <v>0</v>
      </c>
    </row>
    <row r="531" spans="1:12" s="4" customFormat="1" ht="33.75" customHeight="1">
      <c r="A531" s="121" t="s">
        <v>1180</v>
      </c>
      <c r="B531" s="112" t="s">
        <v>297</v>
      </c>
      <c r="C531" s="112" t="s">
        <v>139</v>
      </c>
      <c r="D531" s="111" t="s">
        <v>153</v>
      </c>
      <c r="E531" s="112" t="s">
        <v>1178</v>
      </c>
      <c r="F531" s="143"/>
      <c r="G531" s="112"/>
      <c r="H531" s="78">
        <f>H532</f>
        <v>5512.6</v>
      </c>
      <c r="I531" s="78">
        <f>I532</f>
        <v>5512.6</v>
      </c>
      <c r="J531" s="113">
        <f t="shared" si="26"/>
        <v>0</v>
      </c>
      <c r="K531" s="78">
        <f>K532</f>
        <v>0</v>
      </c>
      <c r="L531" s="78">
        <f>L532</f>
        <v>0</v>
      </c>
    </row>
    <row r="532" spans="1:12" s="4" customFormat="1" ht="34.5" customHeight="1">
      <c r="A532" s="123" t="s">
        <v>758</v>
      </c>
      <c r="B532" s="112" t="s">
        <v>297</v>
      </c>
      <c r="C532" s="112" t="s">
        <v>139</v>
      </c>
      <c r="D532" s="111" t="s">
        <v>153</v>
      </c>
      <c r="E532" s="112" t="s">
        <v>1178</v>
      </c>
      <c r="F532" s="143">
        <v>200</v>
      </c>
      <c r="G532" s="112"/>
      <c r="H532" s="78">
        <f>H533</f>
        <v>5512.6</v>
      </c>
      <c r="I532" s="78">
        <f>I533</f>
        <v>5512.6</v>
      </c>
      <c r="J532" s="113">
        <f t="shared" si="26"/>
        <v>0</v>
      </c>
      <c r="K532" s="78">
        <f>K533</f>
        <v>0</v>
      </c>
      <c r="L532" s="78">
        <f>L533</f>
        <v>0</v>
      </c>
    </row>
    <row r="533" spans="1:12" s="4" customFormat="1" ht="23.25" customHeight="1">
      <c r="A533" s="73" t="s">
        <v>68</v>
      </c>
      <c r="B533" s="112" t="s">
        <v>297</v>
      </c>
      <c r="C533" s="112" t="s">
        <v>139</v>
      </c>
      <c r="D533" s="111" t="s">
        <v>153</v>
      </c>
      <c r="E533" s="112" t="s">
        <v>1178</v>
      </c>
      <c r="F533" s="143">
        <v>200</v>
      </c>
      <c r="G533" s="112" t="s">
        <v>69</v>
      </c>
      <c r="H533" s="78">
        <f>'Пр. 11'!I888</f>
        <v>5512.6</v>
      </c>
      <c r="I533" s="78">
        <f>'Пр. 11'!J888</f>
        <v>5512.6</v>
      </c>
      <c r="J533" s="113">
        <f t="shared" si="26"/>
        <v>0</v>
      </c>
      <c r="K533" s="78">
        <f>'Пр. 11'!L888</f>
        <v>0</v>
      </c>
      <c r="L533" s="78">
        <f>'Пр. 11'!M888</f>
        <v>0</v>
      </c>
    </row>
    <row r="534" spans="1:12" s="4" customFormat="1" ht="56.25" customHeight="1">
      <c r="A534" s="109" t="s">
        <v>927</v>
      </c>
      <c r="B534" s="71" t="s">
        <v>297</v>
      </c>
      <c r="C534" s="71" t="s">
        <v>140</v>
      </c>
      <c r="D534" s="71" t="s">
        <v>155</v>
      </c>
      <c r="E534" s="71" t="s">
        <v>156</v>
      </c>
      <c r="F534" s="71"/>
      <c r="G534" s="107"/>
      <c r="H534" s="37">
        <f>H535</f>
        <v>1899.8</v>
      </c>
      <c r="I534" s="37">
        <f>I535</f>
        <v>1899.8</v>
      </c>
      <c r="J534" s="108">
        <f t="shared" si="26"/>
        <v>0</v>
      </c>
      <c r="K534" s="37">
        <f>K535</f>
        <v>1662.3</v>
      </c>
      <c r="L534" s="37">
        <f>L535</f>
        <v>1708.3</v>
      </c>
    </row>
    <row r="535" spans="1:12" s="4" customFormat="1" ht="63" customHeight="1">
      <c r="A535" s="109" t="s">
        <v>928</v>
      </c>
      <c r="B535" s="71" t="s">
        <v>297</v>
      </c>
      <c r="C535" s="71" t="s">
        <v>140</v>
      </c>
      <c r="D535" s="71" t="s">
        <v>153</v>
      </c>
      <c r="E535" s="71" t="s">
        <v>156</v>
      </c>
      <c r="F535" s="71"/>
      <c r="G535" s="107"/>
      <c r="H535" s="37">
        <f>H536+H543+H548</f>
        <v>1899.8</v>
      </c>
      <c r="I535" s="37">
        <f>I536+I543+I548</f>
        <v>1899.8</v>
      </c>
      <c r="J535" s="108">
        <f t="shared" si="26"/>
        <v>0</v>
      </c>
      <c r="K535" s="37">
        <f>K536+K543+K548</f>
        <v>1662.3</v>
      </c>
      <c r="L535" s="37">
        <f>L536+L543+L548</f>
        <v>1708.3</v>
      </c>
    </row>
    <row r="536" spans="1:12" s="4" customFormat="1" ht="23.25" customHeight="1">
      <c r="A536" s="119" t="s">
        <v>303</v>
      </c>
      <c r="B536" s="111" t="s">
        <v>297</v>
      </c>
      <c r="C536" s="111" t="s">
        <v>140</v>
      </c>
      <c r="D536" s="111" t="s">
        <v>153</v>
      </c>
      <c r="E536" s="111" t="s">
        <v>304</v>
      </c>
      <c r="F536" s="111"/>
      <c r="G536" s="112"/>
      <c r="H536" s="78">
        <f>H537+H539+H541</f>
        <v>1048.3</v>
      </c>
      <c r="I536" s="78">
        <f>I537+I539+I541</f>
        <v>1048.3</v>
      </c>
      <c r="J536" s="113">
        <f t="shared" si="26"/>
        <v>0</v>
      </c>
      <c r="K536" s="78">
        <f>K537+K539+K541</f>
        <v>1048.3</v>
      </c>
      <c r="L536" s="78">
        <f>L537+L539+L541</f>
        <v>1048.3</v>
      </c>
    </row>
    <row r="537" spans="1:12" s="4" customFormat="1" ht="63" customHeight="1">
      <c r="A537" s="123" t="s">
        <v>755</v>
      </c>
      <c r="B537" s="111" t="s">
        <v>297</v>
      </c>
      <c r="C537" s="111" t="s">
        <v>140</v>
      </c>
      <c r="D537" s="111" t="s">
        <v>153</v>
      </c>
      <c r="E537" s="111" t="s">
        <v>304</v>
      </c>
      <c r="F537" s="111" t="s">
        <v>756</v>
      </c>
      <c r="G537" s="112"/>
      <c r="H537" s="78">
        <f>H538</f>
        <v>848.3</v>
      </c>
      <c r="I537" s="78">
        <f>I538</f>
        <v>848.3</v>
      </c>
      <c r="J537" s="113">
        <f t="shared" si="26"/>
        <v>0</v>
      </c>
      <c r="K537" s="78">
        <f>K538</f>
        <v>848.3</v>
      </c>
      <c r="L537" s="78">
        <f>L538</f>
        <v>848.3</v>
      </c>
    </row>
    <row r="538" spans="1:12" s="4" customFormat="1" ht="48" customHeight="1">
      <c r="A538" s="119" t="s">
        <v>174</v>
      </c>
      <c r="B538" s="111" t="s">
        <v>297</v>
      </c>
      <c r="C538" s="111" t="s">
        <v>140</v>
      </c>
      <c r="D538" s="111" t="s">
        <v>153</v>
      </c>
      <c r="E538" s="111" t="s">
        <v>304</v>
      </c>
      <c r="F538" s="111" t="s">
        <v>756</v>
      </c>
      <c r="G538" s="112" t="s">
        <v>49</v>
      </c>
      <c r="H538" s="78">
        <f>'Пр. 11'!I25</f>
        <v>848.3</v>
      </c>
      <c r="I538" s="78">
        <f>'Пр. 11'!J25</f>
        <v>848.3</v>
      </c>
      <c r="J538" s="113">
        <f t="shared" si="26"/>
        <v>0</v>
      </c>
      <c r="K538" s="78">
        <f>'Пр. 11'!L25</f>
        <v>848.3</v>
      </c>
      <c r="L538" s="78">
        <f>'Пр. 11'!M25</f>
        <v>848.3</v>
      </c>
    </row>
    <row r="539" spans="1:12" s="4" customFormat="1" ht="35.25" customHeight="1">
      <c r="A539" s="121" t="s">
        <v>758</v>
      </c>
      <c r="B539" s="111" t="s">
        <v>297</v>
      </c>
      <c r="C539" s="111" t="s">
        <v>140</v>
      </c>
      <c r="D539" s="111" t="s">
        <v>153</v>
      </c>
      <c r="E539" s="111" t="s">
        <v>304</v>
      </c>
      <c r="F539" s="111" t="s">
        <v>757</v>
      </c>
      <c r="G539" s="112"/>
      <c r="H539" s="78">
        <f>H540</f>
        <v>200</v>
      </c>
      <c r="I539" s="78">
        <f>I540</f>
        <v>200</v>
      </c>
      <c r="J539" s="113">
        <f t="shared" si="26"/>
        <v>0</v>
      </c>
      <c r="K539" s="78">
        <f>K540</f>
        <v>200</v>
      </c>
      <c r="L539" s="78">
        <f>L540</f>
        <v>200</v>
      </c>
    </row>
    <row r="540" spans="1:12" s="4" customFormat="1" ht="46.5" customHeight="1">
      <c r="A540" s="119" t="s">
        <v>174</v>
      </c>
      <c r="B540" s="111" t="s">
        <v>297</v>
      </c>
      <c r="C540" s="111" t="s">
        <v>140</v>
      </c>
      <c r="D540" s="111" t="s">
        <v>153</v>
      </c>
      <c r="E540" s="111" t="s">
        <v>304</v>
      </c>
      <c r="F540" s="111" t="s">
        <v>757</v>
      </c>
      <c r="G540" s="112" t="s">
        <v>49</v>
      </c>
      <c r="H540" s="78">
        <f>'Пр. 11'!I26</f>
        <v>200</v>
      </c>
      <c r="I540" s="78">
        <f>'Пр. 11'!J26</f>
        <v>200</v>
      </c>
      <c r="J540" s="113">
        <f t="shared" si="26"/>
        <v>0</v>
      </c>
      <c r="K540" s="78">
        <f>'Пр. 11'!L26</f>
        <v>200</v>
      </c>
      <c r="L540" s="78">
        <f>'Пр. 11'!M26</f>
        <v>200</v>
      </c>
    </row>
    <row r="541" spans="1:12" s="4" customFormat="1" ht="26.25" customHeight="1" hidden="1">
      <c r="A541" s="138" t="s">
        <v>759</v>
      </c>
      <c r="B541" s="111" t="s">
        <v>297</v>
      </c>
      <c r="C541" s="111" t="s">
        <v>140</v>
      </c>
      <c r="D541" s="111" t="s">
        <v>153</v>
      </c>
      <c r="E541" s="111" t="s">
        <v>304</v>
      </c>
      <c r="F541" s="111" t="s">
        <v>760</v>
      </c>
      <c r="G541" s="112"/>
      <c r="H541" s="78">
        <f>H542</f>
        <v>0</v>
      </c>
      <c r="I541" s="78">
        <f>I542</f>
        <v>0</v>
      </c>
      <c r="J541" s="113">
        <f t="shared" si="26"/>
        <v>0</v>
      </c>
      <c r="K541" s="78">
        <f>K542</f>
        <v>0</v>
      </c>
      <c r="L541" s="78">
        <f>L542</f>
        <v>0</v>
      </c>
    </row>
    <row r="542" spans="1:12" s="4" customFormat="1" ht="27" customHeight="1" hidden="1">
      <c r="A542" s="119" t="s">
        <v>64</v>
      </c>
      <c r="B542" s="111" t="s">
        <v>297</v>
      </c>
      <c r="C542" s="111" t="s">
        <v>140</v>
      </c>
      <c r="D542" s="111" t="s">
        <v>153</v>
      </c>
      <c r="E542" s="111" t="s">
        <v>304</v>
      </c>
      <c r="F542" s="111" t="s">
        <v>760</v>
      </c>
      <c r="G542" s="112" t="s">
        <v>65</v>
      </c>
      <c r="H542" s="78">
        <f>'Пр. 11'!I188</f>
        <v>0</v>
      </c>
      <c r="I542" s="78">
        <f>'Пр. 11'!J188</f>
        <v>0</v>
      </c>
      <c r="J542" s="113">
        <f t="shared" si="26"/>
        <v>0</v>
      </c>
      <c r="K542" s="78">
        <f>'Пр. 11'!L188</f>
        <v>0</v>
      </c>
      <c r="L542" s="78">
        <f>'Пр. 11'!M188</f>
        <v>0</v>
      </c>
    </row>
    <row r="543" spans="1:12" s="4" customFormat="1" ht="63.75" customHeight="1">
      <c r="A543" s="119" t="s">
        <v>929</v>
      </c>
      <c r="B543" s="111" t="s">
        <v>297</v>
      </c>
      <c r="C543" s="111" t="s">
        <v>140</v>
      </c>
      <c r="D543" s="111" t="s">
        <v>153</v>
      </c>
      <c r="E543" s="111" t="s">
        <v>302</v>
      </c>
      <c r="F543" s="111"/>
      <c r="G543" s="112"/>
      <c r="H543" s="78">
        <f>H544+H546</f>
        <v>851.5</v>
      </c>
      <c r="I543" s="78">
        <f>I544+I546</f>
        <v>851.5</v>
      </c>
      <c r="J543" s="113">
        <f t="shared" si="26"/>
        <v>0</v>
      </c>
      <c r="K543" s="78">
        <f>K544+K546</f>
        <v>614</v>
      </c>
      <c r="L543" s="78">
        <f>L544+L546</f>
        <v>660</v>
      </c>
    </row>
    <row r="544" spans="1:12" s="4" customFormat="1" ht="33" customHeight="1">
      <c r="A544" s="121" t="s">
        <v>758</v>
      </c>
      <c r="B544" s="111" t="s">
        <v>297</v>
      </c>
      <c r="C544" s="111" t="s">
        <v>140</v>
      </c>
      <c r="D544" s="111" t="s">
        <v>153</v>
      </c>
      <c r="E544" s="111" t="s">
        <v>302</v>
      </c>
      <c r="F544" s="111" t="s">
        <v>757</v>
      </c>
      <c r="G544" s="112"/>
      <c r="H544" s="78">
        <f>H545</f>
        <v>791.5</v>
      </c>
      <c r="I544" s="78">
        <f>I545</f>
        <v>791.5</v>
      </c>
      <c r="J544" s="113">
        <f t="shared" si="26"/>
        <v>0</v>
      </c>
      <c r="K544" s="78">
        <f>K545</f>
        <v>554</v>
      </c>
      <c r="L544" s="78">
        <f>L545</f>
        <v>600</v>
      </c>
    </row>
    <row r="545" spans="1:12" s="5" customFormat="1" ht="21" customHeight="1">
      <c r="A545" s="119" t="s">
        <v>64</v>
      </c>
      <c r="B545" s="111" t="s">
        <v>297</v>
      </c>
      <c r="C545" s="111" t="s">
        <v>140</v>
      </c>
      <c r="D545" s="111" t="s">
        <v>153</v>
      </c>
      <c r="E545" s="111" t="s">
        <v>302</v>
      </c>
      <c r="F545" s="111" t="s">
        <v>757</v>
      </c>
      <c r="G545" s="112" t="s">
        <v>65</v>
      </c>
      <c r="H545" s="78">
        <f>'Пр. 11'!I183</f>
        <v>791.5</v>
      </c>
      <c r="I545" s="78">
        <f>'Пр. 11'!J183</f>
        <v>791.5</v>
      </c>
      <c r="J545" s="113">
        <f t="shared" si="26"/>
        <v>0</v>
      </c>
      <c r="K545" s="78">
        <f>'Пр. 11'!L183</f>
        <v>554</v>
      </c>
      <c r="L545" s="78">
        <f>'Пр. 11'!M183</f>
        <v>600</v>
      </c>
    </row>
    <row r="546" spans="1:12" s="5" customFormat="1" ht="21" customHeight="1">
      <c r="A546" s="123" t="s">
        <v>762</v>
      </c>
      <c r="B546" s="111" t="s">
        <v>297</v>
      </c>
      <c r="C546" s="111" t="s">
        <v>140</v>
      </c>
      <c r="D546" s="111" t="s">
        <v>153</v>
      </c>
      <c r="E546" s="111" t="s">
        <v>302</v>
      </c>
      <c r="F546" s="111" t="s">
        <v>761</v>
      </c>
      <c r="G546" s="112"/>
      <c r="H546" s="78">
        <f>H547</f>
        <v>60</v>
      </c>
      <c r="I546" s="78">
        <f>I547</f>
        <v>60</v>
      </c>
      <c r="J546" s="113">
        <f t="shared" si="26"/>
        <v>0</v>
      </c>
      <c r="K546" s="78">
        <f>K547</f>
        <v>60</v>
      </c>
      <c r="L546" s="78">
        <f>L547</f>
        <v>60</v>
      </c>
    </row>
    <row r="547" spans="1:12" s="5" customFormat="1" ht="21" customHeight="1">
      <c r="A547" s="119" t="s">
        <v>64</v>
      </c>
      <c r="B547" s="111" t="s">
        <v>297</v>
      </c>
      <c r="C547" s="111" t="s">
        <v>140</v>
      </c>
      <c r="D547" s="111" t="s">
        <v>153</v>
      </c>
      <c r="E547" s="111" t="s">
        <v>302</v>
      </c>
      <c r="F547" s="111" t="s">
        <v>761</v>
      </c>
      <c r="G547" s="112" t="s">
        <v>65</v>
      </c>
      <c r="H547" s="78">
        <f>'Пр. 11'!I184</f>
        <v>60</v>
      </c>
      <c r="I547" s="78">
        <f>'Пр. 11'!J184</f>
        <v>60</v>
      </c>
      <c r="J547" s="113">
        <f t="shared" si="26"/>
        <v>0</v>
      </c>
      <c r="K547" s="78">
        <f>'Пр. 11'!L184</f>
        <v>60</v>
      </c>
      <c r="L547" s="78">
        <f>'Пр. 11'!M184</f>
        <v>60</v>
      </c>
    </row>
    <row r="548" spans="1:12" s="4" customFormat="1" ht="37.5" customHeight="1" hidden="1">
      <c r="A548" s="119" t="s">
        <v>930</v>
      </c>
      <c r="B548" s="111" t="s">
        <v>297</v>
      </c>
      <c r="C548" s="111" t="s">
        <v>140</v>
      </c>
      <c r="D548" s="111" t="s">
        <v>153</v>
      </c>
      <c r="E548" s="111" t="s">
        <v>954</v>
      </c>
      <c r="F548" s="111"/>
      <c r="G548" s="112"/>
      <c r="H548" s="78">
        <f>H549</f>
        <v>0</v>
      </c>
      <c r="I548" s="78">
        <f>I549</f>
        <v>0</v>
      </c>
      <c r="J548" s="113">
        <f t="shared" si="26"/>
        <v>0</v>
      </c>
      <c r="K548" s="78">
        <f>K549</f>
        <v>0</v>
      </c>
      <c r="L548" s="78">
        <f>L549</f>
        <v>0</v>
      </c>
    </row>
    <row r="549" spans="1:12" s="4" customFormat="1" ht="34.5" customHeight="1" hidden="1">
      <c r="A549" s="121" t="s">
        <v>758</v>
      </c>
      <c r="B549" s="111" t="s">
        <v>297</v>
      </c>
      <c r="C549" s="111" t="s">
        <v>140</v>
      </c>
      <c r="D549" s="111" t="s">
        <v>153</v>
      </c>
      <c r="E549" s="111" t="s">
        <v>954</v>
      </c>
      <c r="F549" s="111" t="s">
        <v>757</v>
      </c>
      <c r="G549" s="112"/>
      <c r="H549" s="78">
        <f>H550</f>
        <v>0</v>
      </c>
      <c r="I549" s="78">
        <f>I550</f>
        <v>0</v>
      </c>
      <c r="J549" s="113">
        <f t="shared" si="26"/>
        <v>0</v>
      </c>
      <c r="K549" s="78">
        <f>K550</f>
        <v>0</v>
      </c>
      <c r="L549" s="78">
        <f>L550</f>
        <v>0</v>
      </c>
    </row>
    <row r="550" spans="1:12" s="4" customFormat="1" ht="33.75" customHeight="1" hidden="1">
      <c r="A550" s="119" t="s">
        <v>64</v>
      </c>
      <c r="B550" s="111" t="s">
        <v>297</v>
      </c>
      <c r="C550" s="111" t="s">
        <v>140</v>
      </c>
      <c r="D550" s="111" t="s">
        <v>153</v>
      </c>
      <c r="E550" s="111" t="s">
        <v>954</v>
      </c>
      <c r="F550" s="111" t="s">
        <v>757</v>
      </c>
      <c r="G550" s="112" t="s">
        <v>65</v>
      </c>
      <c r="H550" s="78">
        <f>'Пр. 11'!I186</f>
        <v>0</v>
      </c>
      <c r="I550" s="78">
        <f>'Пр. 11'!J186</f>
        <v>0</v>
      </c>
      <c r="J550" s="113">
        <f t="shared" si="26"/>
        <v>0</v>
      </c>
      <c r="K550" s="78">
        <f>'Пр. 11'!L186</f>
        <v>0</v>
      </c>
      <c r="L550" s="78">
        <f>'Пр. 11'!M186</f>
        <v>0</v>
      </c>
    </row>
    <row r="551" spans="1:12" s="5" customFormat="1" ht="54.75" customHeight="1">
      <c r="A551" s="122" t="s">
        <v>340</v>
      </c>
      <c r="B551" s="71" t="s">
        <v>309</v>
      </c>
      <c r="C551" s="71" t="s">
        <v>154</v>
      </c>
      <c r="D551" s="71" t="s">
        <v>155</v>
      </c>
      <c r="E551" s="71" t="s">
        <v>156</v>
      </c>
      <c r="F551" s="71"/>
      <c r="G551" s="107"/>
      <c r="H551" s="37">
        <f>H560+H581+H552</f>
        <v>7699.7</v>
      </c>
      <c r="I551" s="37">
        <f>I560+I581+I552</f>
        <v>11485.6</v>
      </c>
      <c r="J551" s="108">
        <f t="shared" si="26"/>
        <v>3785.9000000000005</v>
      </c>
      <c r="K551" s="37">
        <f>K560+K581+K552</f>
        <v>7002.7</v>
      </c>
      <c r="L551" s="37">
        <f>L560+L581+L552</f>
        <v>3569.6000000000004</v>
      </c>
    </row>
    <row r="552" spans="1:12" s="5" customFormat="1" ht="75.75" customHeight="1">
      <c r="A552" s="139" t="s">
        <v>1022</v>
      </c>
      <c r="B552" s="71" t="s">
        <v>309</v>
      </c>
      <c r="C552" s="71" t="s">
        <v>136</v>
      </c>
      <c r="D552" s="71" t="s">
        <v>155</v>
      </c>
      <c r="E552" s="71" t="s">
        <v>156</v>
      </c>
      <c r="F552" s="71"/>
      <c r="G552" s="107"/>
      <c r="H552" s="37">
        <f>H553</f>
        <v>6300</v>
      </c>
      <c r="I552" s="37">
        <f>I553</f>
        <v>10085.9</v>
      </c>
      <c r="J552" s="108">
        <f aca="true" t="shared" si="37" ref="J552:J559">I552-H552</f>
        <v>3785.8999999999996</v>
      </c>
      <c r="K552" s="37">
        <f>K553</f>
        <v>5500</v>
      </c>
      <c r="L552" s="37">
        <f>L553</f>
        <v>2000</v>
      </c>
    </row>
    <row r="553" spans="1:12" s="5" customFormat="1" ht="33.75" customHeight="1">
      <c r="A553" s="139" t="s">
        <v>981</v>
      </c>
      <c r="B553" s="71" t="s">
        <v>309</v>
      </c>
      <c r="C553" s="71" t="s">
        <v>136</v>
      </c>
      <c r="D553" s="71" t="s">
        <v>297</v>
      </c>
      <c r="E553" s="71" t="s">
        <v>156</v>
      </c>
      <c r="F553" s="71"/>
      <c r="G553" s="107"/>
      <c r="H553" s="37">
        <f>H554+H557</f>
        <v>6300</v>
      </c>
      <c r="I553" s="37">
        <f>I554+I557</f>
        <v>10085.9</v>
      </c>
      <c r="J553" s="108">
        <f t="shared" si="37"/>
        <v>3785.8999999999996</v>
      </c>
      <c r="K553" s="37">
        <f>K554+K557</f>
        <v>5500</v>
      </c>
      <c r="L553" s="37">
        <f>L554+L557</f>
        <v>2000</v>
      </c>
    </row>
    <row r="554" spans="1:12" s="5" customFormat="1" ht="38.25" customHeight="1">
      <c r="A554" s="121" t="s">
        <v>982</v>
      </c>
      <c r="B554" s="111" t="s">
        <v>309</v>
      </c>
      <c r="C554" s="111" t="s">
        <v>136</v>
      </c>
      <c r="D554" s="111" t="s">
        <v>297</v>
      </c>
      <c r="E554" s="111" t="s">
        <v>471</v>
      </c>
      <c r="F554" s="111"/>
      <c r="G554" s="112"/>
      <c r="H554" s="78">
        <f>H555</f>
        <v>3300</v>
      </c>
      <c r="I554" s="78">
        <f>I555</f>
        <v>7085.9</v>
      </c>
      <c r="J554" s="113">
        <f t="shared" si="37"/>
        <v>3785.8999999999996</v>
      </c>
      <c r="K554" s="78">
        <f>K555</f>
        <v>2000</v>
      </c>
      <c r="L554" s="78">
        <f>L555</f>
        <v>0</v>
      </c>
    </row>
    <row r="555" spans="1:12" s="5" customFormat="1" ht="36" customHeight="1">
      <c r="A555" s="121" t="s">
        <v>758</v>
      </c>
      <c r="B555" s="111" t="s">
        <v>309</v>
      </c>
      <c r="C555" s="111" t="s">
        <v>136</v>
      </c>
      <c r="D555" s="111" t="s">
        <v>297</v>
      </c>
      <c r="E555" s="111" t="s">
        <v>471</v>
      </c>
      <c r="F555" s="111" t="s">
        <v>757</v>
      </c>
      <c r="G555" s="112"/>
      <c r="H555" s="78">
        <f>H556</f>
        <v>3300</v>
      </c>
      <c r="I555" s="78">
        <f>I556</f>
        <v>7085.9</v>
      </c>
      <c r="J555" s="113">
        <f t="shared" si="37"/>
        <v>3785.8999999999996</v>
      </c>
      <c r="K555" s="78">
        <f>K556</f>
        <v>2000</v>
      </c>
      <c r="L555" s="78">
        <f>L556</f>
        <v>0</v>
      </c>
    </row>
    <row r="556" spans="1:12" s="5" customFormat="1" ht="22.5" customHeight="1">
      <c r="A556" s="73" t="s">
        <v>72</v>
      </c>
      <c r="B556" s="111" t="s">
        <v>309</v>
      </c>
      <c r="C556" s="111" t="s">
        <v>136</v>
      </c>
      <c r="D556" s="111" t="s">
        <v>297</v>
      </c>
      <c r="E556" s="111" t="s">
        <v>471</v>
      </c>
      <c r="F556" s="111" t="s">
        <v>757</v>
      </c>
      <c r="G556" s="112" t="s">
        <v>73</v>
      </c>
      <c r="H556" s="78">
        <f>'Пр. 11'!I224</f>
        <v>3300</v>
      </c>
      <c r="I556" s="78">
        <f>'Пр. 11'!J224</f>
        <v>7085.9</v>
      </c>
      <c r="J556" s="113">
        <f t="shared" si="37"/>
        <v>3785.8999999999996</v>
      </c>
      <c r="K556" s="78">
        <f>'Пр. 11'!L224</f>
        <v>2000</v>
      </c>
      <c r="L556" s="78">
        <f>'Пр. 11'!M224</f>
        <v>0</v>
      </c>
    </row>
    <row r="557" spans="1:12" s="5" customFormat="1" ht="34.5" customHeight="1">
      <c r="A557" s="121" t="s">
        <v>983</v>
      </c>
      <c r="B557" s="111" t="s">
        <v>309</v>
      </c>
      <c r="C557" s="111" t="s">
        <v>136</v>
      </c>
      <c r="D557" s="111" t="s">
        <v>297</v>
      </c>
      <c r="E557" s="111" t="s">
        <v>779</v>
      </c>
      <c r="F557" s="111"/>
      <c r="G557" s="112"/>
      <c r="H557" s="78">
        <f>H558</f>
        <v>3000</v>
      </c>
      <c r="I557" s="78">
        <f>I558</f>
        <v>3000</v>
      </c>
      <c r="J557" s="113">
        <f t="shared" si="37"/>
        <v>0</v>
      </c>
      <c r="K557" s="78">
        <f>K558</f>
        <v>3500</v>
      </c>
      <c r="L557" s="78">
        <f>L558</f>
        <v>2000</v>
      </c>
    </row>
    <row r="558" spans="1:12" s="5" customFormat="1" ht="33" customHeight="1">
      <c r="A558" s="121" t="s">
        <v>758</v>
      </c>
      <c r="B558" s="111" t="s">
        <v>309</v>
      </c>
      <c r="C558" s="111" t="s">
        <v>136</v>
      </c>
      <c r="D558" s="111" t="s">
        <v>297</v>
      </c>
      <c r="E558" s="111" t="s">
        <v>779</v>
      </c>
      <c r="F558" s="111" t="s">
        <v>757</v>
      </c>
      <c r="G558" s="112"/>
      <c r="H558" s="78">
        <f>H559</f>
        <v>3000</v>
      </c>
      <c r="I558" s="78">
        <f>I559</f>
        <v>3000</v>
      </c>
      <c r="J558" s="113">
        <f t="shared" si="37"/>
        <v>0</v>
      </c>
      <c r="K558" s="78">
        <f>K559</f>
        <v>3500</v>
      </c>
      <c r="L558" s="78">
        <f>L559</f>
        <v>2000</v>
      </c>
    </row>
    <row r="559" spans="1:12" s="5" customFormat="1" ht="21" customHeight="1">
      <c r="A559" s="73" t="s">
        <v>72</v>
      </c>
      <c r="B559" s="111" t="s">
        <v>309</v>
      </c>
      <c r="C559" s="111" t="s">
        <v>136</v>
      </c>
      <c r="D559" s="111" t="s">
        <v>297</v>
      </c>
      <c r="E559" s="111" t="s">
        <v>779</v>
      </c>
      <c r="F559" s="111" t="s">
        <v>757</v>
      </c>
      <c r="G559" s="112" t="s">
        <v>73</v>
      </c>
      <c r="H559" s="78">
        <f>'Пр. 11'!I226</f>
        <v>3000</v>
      </c>
      <c r="I559" s="78">
        <f>'Пр. 11'!J226</f>
        <v>3000</v>
      </c>
      <c r="J559" s="113">
        <f t="shared" si="37"/>
        <v>0</v>
      </c>
      <c r="K559" s="78">
        <f>'Пр. 11'!L226</f>
        <v>3500</v>
      </c>
      <c r="L559" s="78">
        <f>'Пр. 11'!M226</f>
        <v>2000</v>
      </c>
    </row>
    <row r="560" spans="1:12" s="5" customFormat="1" ht="54" customHeight="1">
      <c r="A560" s="109" t="s">
        <v>912</v>
      </c>
      <c r="B560" s="71" t="s">
        <v>309</v>
      </c>
      <c r="C560" s="71" t="s">
        <v>139</v>
      </c>
      <c r="D560" s="71" t="s">
        <v>155</v>
      </c>
      <c r="E560" s="71" t="s">
        <v>156</v>
      </c>
      <c r="F560" s="71"/>
      <c r="G560" s="107"/>
      <c r="H560" s="37">
        <f>H561</f>
        <v>1316.7</v>
      </c>
      <c r="I560" s="37">
        <f>I561</f>
        <v>1316.7</v>
      </c>
      <c r="J560" s="108">
        <f aca="true" t="shared" si="38" ref="J560:J574">I560-H560</f>
        <v>0</v>
      </c>
      <c r="K560" s="37">
        <f>K561</f>
        <v>1417.8</v>
      </c>
      <c r="L560" s="37">
        <f>L561</f>
        <v>1484.7</v>
      </c>
    </row>
    <row r="561" spans="1:12" s="5" customFormat="1" ht="39.75" customHeight="1">
      <c r="A561" s="109" t="s">
        <v>913</v>
      </c>
      <c r="B561" s="71" t="s">
        <v>309</v>
      </c>
      <c r="C561" s="71" t="s">
        <v>139</v>
      </c>
      <c r="D561" s="71" t="s">
        <v>153</v>
      </c>
      <c r="E561" s="71" t="s">
        <v>156</v>
      </c>
      <c r="F561" s="71"/>
      <c r="G561" s="107"/>
      <c r="H561" s="37">
        <f>H562+H572+H566+H575+H578</f>
        <v>1316.7</v>
      </c>
      <c r="I561" s="37">
        <f>I562+I572+I566+I575+I578</f>
        <v>1316.7</v>
      </c>
      <c r="J561" s="108">
        <f t="shared" si="38"/>
        <v>0</v>
      </c>
      <c r="K561" s="37">
        <f>K562+K572+K566+K575+K578</f>
        <v>1417.8</v>
      </c>
      <c r="L561" s="37">
        <f>L562+L572+L566+L575+L578</f>
        <v>1484.7</v>
      </c>
    </row>
    <row r="562" spans="1:12" s="5" customFormat="1" ht="39" customHeight="1">
      <c r="A562" s="114" t="s">
        <v>914</v>
      </c>
      <c r="B562" s="111" t="s">
        <v>309</v>
      </c>
      <c r="C562" s="111" t="s">
        <v>139</v>
      </c>
      <c r="D562" s="111" t="s">
        <v>153</v>
      </c>
      <c r="E562" s="112" t="s">
        <v>351</v>
      </c>
      <c r="F562" s="111"/>
      <c r="G562" s="112"/>
      <c r="H562" s="78">
        <f>H563</f>
        <v>351</v>
      </c>
      <c r="I562" s="78">
        <f>I563</f>
        <v>351</v>
      </c>
      <c r="J562" s="113">
        <f t="shared" si="38"/>
        <v>0</v>
      </c>
      <c r="K562" s="78">
        <f>K563</f>
        <v>419</v>
      </c>
      <c r="L562" s="78">
        <f>L563</f>
        <v>432</v>
      </c>
    </row>
    <row r="563" spans="1:12" s="5" customFormat="1" ht="32.25" customHeight="1">
      <c r="A563" s="114" t="s">
        <v>758</v>
      </c>
      <c r="B563" s="111" t="s">
        <v>309</v>
      </c>
      <c r="C563" s="111" t="s">
        <v>139</v>
      </c>
      <c r="D563" s="111" t="s">
        <v>153</v>
      </c>
      <c r="E563" s="112" t="s">
        <v>351</v>
      </c>
      <c r="F563" s="111" t="s">
        <v>757</v>
      </c>
      <c r="G563" s="112"/>
      <c r="H563" s="78">
        <f>H564</f>
        <v>351</v>
      </c>
      <c r="I563" s="78">
        <f>I564</f>
        <v>351</v>
      </c>
      <c r="J563" s="113">
        <f t="shared" si="38"/>
        <v>0</v>
      </c>
      <c r="K563" s="78">
        <f>K564</f>
        <v>419</v>
      </c>
      <c r="L563" s="78">
        <f>L564</f>
        <v>432</v>
      </c>
    </row>
    <row r="564" spans="1:12" s="5" customFormat="1" ht="21.75" customHeight="1">
      <c r="A564" s="114" t="s">
        <v>56</v>
      </c>
      <c r="B564" s="111" t="s">
        <v>309</v>
      </c>
      <c r="C564" s="111" t="s">
        <v>139</v>
      </c>
      <c r="D564" s="111" t="s">
        <v>153</v>
      </c>
      <c r="E564" s="112" t="s">
        <v>351</v>
      </c>
      <c r="F564" s="111" t="s">
        <v>757</v>
      </c>
      <c r="G564" s="112" t="s">
        <v>57</v>
      </c>
      <c r="H564" s="78">
        <f>'Пр. 11'!I79+'Пр. 11'!I531+'Пр. 11'!I805+'Пр. 11'!I826+'Пр. 11'!I1193</f>
        <v>351</v>
      </c>
      <c r="I564" s="78">
        <f>'Пр. 11'!J79+'Пр. 11'!J531+'Пр. 11'!J805+'Пр. 11'!J826+'Пр. 11'!J1193</f>
        <v>351</v>
      </c>
      <c r="J564" s="113">
        <f t="shared" si="38"/>
        <v>0</v>
      </c>
      <c r="K564" s="78">
        <f>'Пр. 11'!L79+'Пр. 11'!L531+'Пр. 11'!L805+'Пр. 11'!L826+'Пр. 11'!L1193</f>
        <v>419</v>
      </c>
      <c r="L564" s="78">
        <f>'Пр. 11'!M79+'Пр. 11'!M531+'Пр. 11'!M805+'Пр. 11'!M826+'Пр. 11'!M1193</f>
        <v>432</v>
      </c>
    </row>
    <row r="565" spans="1:12" s="5" customFormat="1" ht="36.75" customHeight="1">
      <c r="A565" s="119" t="s">
        <v>352</v>
      </c>
      <c r="B565" s="111" t="s">
        <v>309</v>
      </c>
      <c r="C565" s="111" t="s">
        <v>139</v>
      </c>
      <c r="D565" s="111" t="s">
        <v>153</v>
      </c>
      <c r="E565" s="111" t="s">
        <v>353</v>
      </c>
      <c r="F565" s="111"/>
      <c r="G565" s="112"/>
      <c r="H565" s="78">
        <f>H566</f>
        <v>665.7</v>
      </c>
      <c r="I565" s="78">
        <f>I566</f>
        <v>665.7</v>
      </c>
      <c r="J565" s="113">
        <f t="shared" si="38"/>
        <v>0</v>
      </c>
      <c r="K565" s="78">
        <f>K566</f>
        <v>668.8</v>
      </c>
      <c r="L565" s="78">
        <f>L566</f>
        <v>682.7</v>
      </c>
    </row>
    <row r="566" spans="1:12" s="5" customFormat="1" ht="32.25" customHeight="1">
      <c r="A566" s="114" t="s">
        <v>758</v>
      </c>
      <c r="B566" s="111" t="s">
        <v>309</v>
      </c>
      <c r="C566" s="111" t="s">
        <v>139</v>
      </c>
      <c r="D566" s="111" t="s">
        <v>153</v>
      </c>
      <c r="E566" s="111" t="s">
        <v>353</v>
      </c>
      <c r="F566" s="111" t="s">
        <v>757</v>
      </c>
      <c r="G566" s="112"/>
      <c r="H566" s="78">
        <f>H567+H568+H569+H570+H571</f>
        <v>665.7</v>
      </c>
      <c r="I566" s="78">
        <f>I567+I568+I569+I570+I571</f>
        <v>665.7</v>
      </c>
      <c r="J566" s="113">
        <f t="shared" si="38"/>
        <v>0</v>
      </c>
      <c r="K566" s="78">
        <f>K567+K568+K569+K570+K571</f>
        <v>668.8</v>
      </c>
      <c r="L566" s="78">
        <f>L567+L568+L569+L570+L571</f>
        <v>682.7</v>
      </c>
    </row>
    <row r="567" spans="1:12" s="5" customFormat="1" ht="45.75" customHeight="1">
      <c r="A567" s="93" t="s">
        <v>46</v>
      </c>
      <c r="B567" s="111" t="s">
        <v>309</v>
      </c>
      <c r="C567" s="111" t="s">
        <v>139</v>
      </c>
      <c r="D567" s="111" t="s">
        <v>153</v>
      </c>
      <c r="E567" s="111">
        <v>10380</v>
      </c>
      <c r="F567" s="111" t="s">
        <v>757</v>
      </c>
      <c r="G567" s="112" t="s">
        <v>47</v>
      </c>
      <c r="H567" s="78">
        <f>'Пр. 11'!I790</f>
        <v>19</v>
      </c>
      <c r="I567" s="78">
        <f>'Пр. 11'!J790</f>
        <v>19</v>
      </c>
      <c r="J567" s="113">
        <f t="shared" si="38"/>
        <v>0</v>
      </c>
      <c r="K567" s="78">
        <f>'Пр. 11'!L790</f>
        <v>19</v>
      </c>
      <c r="L567" s="78">
        <f>'Пр. 11'!M790</f>
        <v>20</v>
      </c>
    </row>
    <row r="568" spans="1:12" s="5" customFormat="1" ht="54.75" customHeight="1">
      <c r="A568" s="93" t="s">
        <v>48</v>
      </c>
      <c r="B568" s="111" t="s">
        <v>309</v>
      </c>
      <c r="C568" s="111" t="s">
        <v>139</v>
      </c>
      <c r="D568" s="111" t="s">
        <v>153</v>
      </c>
      <c r="E568" s="111">
        <v>10380</v>
      </c>
      <c r="F568" s="111" t="s">
        <v>757</v>
      </c>
      <c r="G568" s="112" t="s">
        <v>49</v>
      </c>
      <c r="H568" s="78">
        <f>'Пр. 11'!I31</f>
        <v>384</v>
      </c>
      <c r="I568" s="78">
        <f>'Пр. 11'!J31</f>
        <v>384</v>
      </c>
      <c r="J568" s="113">
        <f t="shared" si="38"/>
        <v>0</v>
      </c>
      <c r="K568" s="78">
        <f>'Пр. 11'!L31</f>
        <v>384</v>
      </c>
      <c r="L568" s="78">
        <f>'Пр. 11'!M31</f>
        <v>384</v>
      </c>
    </row>
    <row r="569" spans="1:12" s="5" customFormat="1" ht="39.75" customHeight="1">
      <c r="A569" s="74" t="s">
        <v>52</v>
      </c>
      <c r="B569" s="111" t="s">
        <v>309</v>
      </c>
      <c r="C569" s="111" t="s">
        <v>139</v>
      </c>
      <c r="D569" s="111" t="s">
        <v>153</v>
      </c>
      <c r="E569" s="111">
        <v>10380</v>
      </c>
      <c r="F569" s="111" t="s">
        <v>757</v>
      </c>
      <c r="G569" s="112" t="s">
        <v>53</v>
      </c>
      <c r="H569" s="78">
        <f>'Пр. 11'!I503+'Пр. 11'!I1172</f>
        <v>117.5</v>
      </c>
      <c r="I569" s="78">
        <f>'Пр. 11'!J503+'Пр. 11'!J1172</f>
        <v>117.5</v>
      </c>
      <c r="J569" s="113">
        <f t="shared" si="38"/>
        <v>0</v>
      </c>
      <c r="K569" s="78">
        <f>'Пр. 11'!L503+'Пр. 11'!L1172</f>
        <v>119</v>
      </c>
      <c r="L569" s="78">
        <f>'Пр. 11'!M503+'Пр. 11'!M1172</f>
        <v>130</v>
      </c>
    </row>
    <row r="570" spans="1:12" s="5" customFormat="1" ht="21.75" customHeight="1">
      <c r="A570" s="114" t="s">
        <v>56</v>
      </c>
      <c r="B570" s="111" t="s">
        <v>309</v>
      </c>
      <c r="C570" s="111" t="s">
        <v>139</v>
      </c>
      <c r="D570" s="111" t="s">
        <v>153</v>
      </c>
      <c r="E570" s="111">
        <v>10380</v>
      </c>
      <c r="F570" s="111" t="s">
        <v>757</v>
      </c>
      <c r="G570" s="112" t="s">
        <v>57</v>
      </c>
      <c r="H570" s="78">
        <f>'Пр. 11'!I699</f>
        <v>45.2</v>
      </c>
      <c r="I570" s="78">
        <f>'Пр. 11'!J699</f>
        <v>45.2</v>
      </c>
      <c r="J570" s="113">
        <f t="shared" si="38"/>
        <v>0</v>
      </c>
      <c r="K570" s="78">
        <f>'Пр. 11'!L699</f>
        <v>46.8</v>
      </c>
      <c r="L570" s="78">
        <f>'Пр. 11'!M699</f>
        <v>48.7</v>
      </c>
    </row>
    <row r="571" spans="1:12" s="5" customFormat="1" ht="21.75" customHeight="1">
      <c r="A571" s="92" t="s">
        <v>100</v>
      </c>
      <c r="B571" s="111" t="s">
        <v>309</v>
      </c>
      <c r="C571" s="111" t="s">
        <v>139</v>
      </c>
      <c r="D571" s="111" t="s">
        <v>153</v>
      </c>
      <c r="E571" s="111">
        <v>10380</v>
      </c>
      <c r="F571" s="111" t="s">
        <v>757</v>
      </c>
      <c r="G571" s="112" t="s">
        <v>101</v>
      </c>
      <c r="H571" s="78">
        <f>'Пр. 11'!I849</f>
        <v>100</v>
      </c>
      <c r="I571" s="78">
        <f>'Пр. 11'!J849</f>
        <v>100</v>
      </c>
      <c r="J571" s="113">
        <f t="shared" si="38"/>
        <v>0</v>
      </c>
      <c r="K571" s="78">
        <f>'Пр. 11'!L849</f>
        <v>100</v>
      </c>
      <c r="L571" s="78">
        <f>'Пр. 11'!M849</f>
        <v>100</v>
      </c>
    </row>
    <row r="572" spans="1:12" s="5" customFormat="1" ht="54" customHeight="1">
      <c r="A572" s="114" t="s">
        <v>915</v>
      </c>
      <c r="B572" s="111" t="s">
        <v>309</v>
      </c>
      <c r="C572" s="111" t="s">
        <v>139</v>
      </c>
      <c r="D572" s="111" t="s">
        <v>153</v>
      </c>
      <c r="E572" s="112" t="s">
        <v>955</v>
      </c>
      <c r="F572" s="111"/>
      <c r="G572" s="112"/>
      <c r="H572" s="78">
        <f>H573</f>
        <v>50</v>
      </c>
      <c r="I572" s="78">
        <f>I573</f>
        <v>50</v>
      </c>
      <c r="J572" s="113">
        <f t="shared" si="38"/>
        <v>0</v>
      </c>
      <c r="K572" s="78">
        <f>K573</f>
        <v>70</v>
      </c>
      <c r="L572" s="78">
        <f>L573</f>
        <v>100</v>
      </c>
    </row>
    <row r="573" spans="1:12" s="5" customFormat="1" ht="31.5" customHeight="1">
      <c r="A573" s="114" t="s">
        <v>758</v>
      </c>
      <c r="B573" s="111" t="s">
        <v>309</v>
      </c>
      <c r="C573" s="111" t="s">
        <v>139</v>
      </c>
      <c r="D573" s="111" t="s">
        <v>153</v>
      </c>
      <c r="E573" s="112" t="s">
        <v>955</v>
      </c>
      <c r="F573" s="111" t="s">
        <v>757</v>
      </c>
      <c r="G573" s="112"/>
      <c r="H573" s="78">
        <f>H574</f>
        <v>50</v>
      </c>
      <c r="I573" s="78">
        <f>I574</f>
        <v>50</v>
      </c>
      <c r="J573" s="113">
        <f t="shared" si="38"/>
        <v>0</v>
      </c>
      <c r="K573" s="78">
        <f>K574</f>
        <v>70</v>
      </c>
      <c r="L573" s="78">
        <f>L574</f>
        <v>100</v>
      </c>
    </row>
    <row r="574" spans="1:12" s="5" customFormat="1" ht="21.75" customHeight="1">
      <c r="A574" s="114" t="s">
        <v>56</v>
      </c>
      <c r="B574" s="111" t="s">
        <v>309</v>
      </c>
      <c r="C574" s="111" t="s">
        <v>139</v>
      </c>
      <c r="D574" s="111" t="s">
        <v>153</v>
      </c>
      <c r="E574" s="112" t="s">
        <v>955</v>
      </c>
      <c r="F574" s="111" t="s">
        <v>757</v>
      </c>
      <c r="G574" s="112" t="s">
        <v>57</v>
      </c>
      <c r="H574" s="78">
        <f>'Пр. 11'!I81</f>
        <v>50</v>
      </c>
      <c r="I574" s="78">
        <f>'Пр. 11'!J81</f>
        <v>50</v>
      </c>
      <c r="J574" s="113">
        <f t="shared" si="38"/>
        <v>0</v>
      </c>
      <c r="K574" s="78">
        <f>'Пр. 11'!L81</f>
        <v>70</v>
      </c>
      <c r="L574" s="78">
        <f>'Пр. 11'!M81</f>
        <v>100</v>
      </c>
    </row>
    <row r="575" spans="1:12" s="5" customFormat="1" ht="39.75" customHeight="1">
      <c r="A575" s="114" t="s">
        <v>916</v>
      </c>
      <c r="B575" s="111" t="s">
        <v>309</v>
      </c>
      <c r="C575" s="111" t="s">
        <v>139</v>
      </c>
      <c r="D575" s="111" t="s">
        <v>153</v>
      </c>
      <c r="E575" s="112" t="s">
        <v>956</v>
      </c>
      <c r="F575" s="111"/>
      <c r="G575" s="112"/>
      <c r="H575" s="78">
        <f>H576</f>
        <v>100</v>
      </c>
      <c r="I575" s="78">
        <f>I576</f>
        <v>100</v>
      </c>
      <c r="J575" s="113">
        <f aca="true" t="shared" si="39" ref="J575:J612">I575-H575</f>
        <v>0</v>
      </c>
      <c r="K575" s="78">
        <f>K576</f>
        <v>100</v>
      </c>
      <c r="L575" s="78">
        <f>L576</f>
        <v>100</v>
      </c>
    </row>
    <row r="576" spans="1:12" s="5" customFormat="1" ht="37.5" customHeight="1">
      <c r="A576" s="114" t="s">
        <v>758</v>
      </c>
      <c r="B576" s="111" t="s">
        <v>309</v>
      </c>
      <c r="C576" s="111" t="s">
        <v>139</v>
      </c>
      <c r="D576" s="111" t="s">
        <v>153</v>
      </c>
      <c r="E576" s="112" t="s">
        <v>956</v>
      </c>
      <c r="F576" s="111" t="s">
        <v>757</v>
      </c>
      <c r="G576" s="112"/>
      <c r="H576" s="78">
        <f>H577</f>
        <v>100</v>
      </c>
      <c r="I576" s="78">
        <f>I577</f>
        <v>100</v>
      </c>
      <c r="J576" s="113">
        <f t="shared" si="39"/>
        <v>0</v>
      </c>
      <c r="K576" s="78">
        <f>K577</f>
        <v>100</v>
      </c>
      <c r="L576" s="78">
        <f>L577</f>
        <v>100</v>
      </c>
    </row>
    <row r="577" spans="1:12" s="5" customFormat="1" ht="25.5" customHeight="1">
      <c r="A577" s="114" t="s">
        <v>56</v>
      </c>
      <c r="B577" s="111" t="s">
        <v>309</v>
      </c>
      <c r="C577" s="111" t="s">
        <v>139</v>
      </c>
      <c r="D577" s="111" t="s">
        <v>153</v>
      </c>
      <c r="E577" s="112" t="s">
        <v>956</v>
      </c>
      <c r="F577" s="111" t="s">
        <v>757</v>
      </c>
      <c r="G577" s="112" t="s">
        <v>57</v>
      </c>
      <c r="H577" s="78">
        <f>'Пр. 11'!I83</f>
        <v>100</v>
      </c>
      <c r="I577" s="78">
        <f>'Пр. 11'!J83</f>
        <v>100</v>
      </c>
      <c r="J577" s="113">
        <f t="shared" si="39"/>
        <v>0</v>
      </c>
      <c r="K577" s="78">
        <f>'Пр. 11'!L83</f>
        <v>100</v>
      </c>
      <c r="L577" s="78">
        <f>'Пр. 11'!M83</f>
        <v>100</v>
      </c>
    </row>
    <row r="578" spans="1:12" s="5" customFormat="1" ht="33" customHeight="1">
      <c r="A578" s="114" t="s">
        <v>917</v>
      </c>
      <c r="B578" s="111" t="s">
        <v>309</v>
      </c>
      <c r="C578" s="111" t="s">
        <v>139</v>
      </c>
      <c r="D578" s="111" t="s">
        <v>153</v>
      </c>
      <c r="E578" s="112" t="s">
        <v>957</v>
      </c>
      <c r="F578" s="111"/>
      <c r="G578" s="112"/>
      <c r="H578" s="78">
        <f>H579</f>
        <v>150</v>
      </c>
      <c r="I578" s="78">
        <f>I579</f>
        <v>150</v>
      </c>
      <c r="J578" s="113">
        <f t="shared" si="39"/>
        <v>0</v>
      </c>
      <c r="K578" s="78">
        <f>K579</f>
        <v>160</v>
      </c>
      <c r="L578" s="78">
        <f>L579</f>
        <v>170</v>
      </c>
    </row>
    <row r="579" spans="1:12" s="5" customFormat="1" ht="31.5" customHeight="1">
      <c r="A579" s="114" t="s">
        <v>758</v>
      </c>
      <c r="B579" s="111" t="s">
        <v>309</v>
      </c>
      <c r="C579" s="111" t="s">
        <v>139</v>
      </c>
      <c r="D579" s="111" t="s">
        <v>153</v>
      </c>
      <c r="E579" s="112" t="s">
        <v>957</v>
      </c>
      <c r="F579" s="111" t="s">
        <v>757</v>
      </c>
      <c r="G579" s="112"/>
      <c r="H579" s="78">
        <f>H580</f>
        <v>150</v>
      </c>
      <c r="I579" s="78">
        <f>I580</f>
        <v>150</v>
      </c>
      <c r="J579" s="113">
        <f t="shared" si="39"/>
        <v>0</v>
      </c>
      <c r="K579" s="78">
        <f>K580</f>
        <v>160</v>
      </c>
      <c r="L579" s="78">
        <f>L580</f>
        <v>170</v>
      </c>
    </row>
    <row r="580" spans="1:12" s="5" customFormat="1" ht="21" customHeight="1">
      <c r="A580" s="114" t="s">
        <v>56</v>
      </c>
      <c r="B580" s="111" t="s">
        <v>309</v>
      </c>
      <c r="C580" s="111" t="s">
        <v>139</v>
      </c>
      <c r="D580" s="111" t="s">
        <v>153</v>
      </c>
      <c r="E580" s="112" t="s">
        <v>957</v>
      </c>
      <c r="F580" s="111" t="s">
        <v>757</v>
      </c>
      <c r="G580" s="112" t="s">
        <v>57</v>
      </c>
      <c r="H580" s="78">
        <f>'Пр. 11'!I85</f>
        <v>150</v>
      </c>
      <c r="I580" s="78">
        <f>'Пр. 11'!J85</f>
        <v>150</v>
      </c>
      <c r="J580" s="113">
        <f t="shared" si="39"/>
        <v>0</v>
      </c>
      <c r="K580" s="78">
        <f>'Пр. 11'!L85</f>
        <v>160</v>
      </c>
      <c r="L580" s="78">
        <f>'Пр. 11'!M85</f>
        <v>170</v>
      </c>
    </row>
    <row r="581" spans="1:12" s="5" customFormat="1" ht="35.25" customHeight="1">
      <c r="A581" s="128" t="s">
        <v>963</v>
      </c>
      <c r="B581" s="71" t="s">
        <v>309</v>
      </c>
      <c r="C581" s="71" t="s">
        <v>140</v>
      </c>
      <c r="D581" s="71" t="s">
        <v>155</v>
      </c>
      <c r="E581" s="107" t="s">
        <v>156</v>
      </c>
      <c r="F581" s="71"/>
      <c r="G581" s="107"/>
      <c r="H581" s="37">
        <f aca="true" t="shared" si="40" ref="H581:I584">H582</f>
        <v>83</v>
      </c>
      <c r="I581" s="37">
        <f t="shared" si="40"/>
        <v>83</v>
      </c>
      <c r="J581" s="108">
        <f t="shared" si="39"/>
        <v>0</v>
      </c>
      <c r="K581" s="37">
        <f aca="true" t="shared" si="41" ref="K581:L584">K582</f>
        <v>84.9</v>
      </c>
      <c r="L581" s="37">
        <f t="shared" si="41"/>
        <v>84.9</v>
      </c>
    </row>
    <row r="582" spans="1:12" s="5" customFormat="1" ht="42" customHeight="1">
      <c r="A582" s="128" t="s">
        <v>964</v>
      </c>
      <c r="B582" s="71" t="s">
        <v>309</v>
      </c>
      <c r="C582" s="71" t="s">
        <v>140</v>
      </c>
      <c r="D582" s="71" t="s">
        <v>153</v>
      </c>
      <c r="E582" s="107" t="s">
        <v>156</v>
      </c>
      <c r="F582" s="71"/>
      <c r="G582" s="107"/>
      <c r="H582" s="37">
        <f t="shared" si="40"/>
        <v>83</v>
      </c>
      <c r="I582" s="37">
        <f t="shared" si="40"/>
        <v>83</v>
      </c>
      <c r="J582" s="108">
        <f t="shared" si="39"/>
        <v>0</v>
      </c>
      <c r="K582" s="37">
        <f t="shared" si="41"/>
        <v>84.9</v>
      </c>
      <c r="L582" s="37">
        <f t="shared" si="41"/>
        <v>84.9</v>
      </c>
    </row>
    <row r="583" spans="1:12" s="4" customFormat="1" ht="33" customHeight="1">
      <c r="A583" s="114" t="s">
        <v>348</v>
      </c>
      <c r="B583" s="111" t="s">
        <v>309</v>
      </c>
      <c r="C583" s="111" t="s">
        <v>140</v>
      </c>
      <c r="D583" s="111" t="s">
        <v>153</v>
      </c>
      <c r="E583" s="112" t="s">
        <v>349</v>
      </c>
      <c r="F583" s="111"/>
      <c r="G583" s="112"/>
      <c r="H583" s="78">
        <f t="shared" si="40"/>
        <v>83</v>
      </c>
      <c r="I583" s="78">
        <f t="shared" si="40"/>
        <v>83</v>
      </c>
      <c r="J583" s="113">
        <f t="shared" si="39"/>
        <v>0</v>
      </c>
      <c r="K583" s="78">
        <f t="shared" si="41"/>
        <v>84.9</v>
      </c>
      <c r="L583" s="78">
        <f t="shared" si="41"/>
        <v>84.9</v>
      </c>
    </row>
    <row r="584" spans="1:12" s="4" customFormat="1" ht="33.75" customHeight="1">
      <c r="A584" s="114" t="s">
        <v>758</v>
      </c>
      <c r="B584" s="111" t="s">
        <v>309</v>
      </c>
      <c r="C584" s="111" t="s">
        <v>140</v>
      </c>
      <c r="D584" s="111" t="s">
        <v>153</v>
      </c>
      <c r="E584" s="112" t="s">
        <v>349</v>
      </c>
      <c r="F584" s="111" t="s">
        <v>757</v>
      </c>
      <c r="G584" s="112"/>
      <c r="H584" s="78">
        <f t="shared" si="40"/>
        <v>83</v>
      </c>
      <c r="I584" s="78">
        <f t="shared" si="40"/>
        <v>83</v>
      </c>
      <c r="J584" s="113">
        <f t="shared" si="39"/>
        <v>0</v>
      </c>
      <c r="K584" s="78">
        <f t="shared" si="41"/>
        <v>84.9</v>
      </c>
      <c r="L584" s="78">
        <f t="shared" si="41"/>
        <v>84.9</v>
      </c>
    </row>
    <row r="585" spans="1:12" s="4" customFormat="1" ht="21" customHeight="1">
      <c r="A585" s="114" t="s">
        <v>72</v>
      </c>
      <c r="B585" s="111" t="s">
        <v>309</v>
      </c>
      <c r="C585" s="111" t="s">
        <v>140</v>
      </c>
      <c r="D585" s="111" t="s">
        <v>153</v>
      </c>
      <c r="E585" s="112" t="s">
        <v>349</v>
      </c>
      <c r="F585" s="111" t="s">
        <v>757</v>
      </c>
      <c r="G585" s="112" t="s">
        <v>73</v>
      </c>
      <c r="H585" s="78">
        <f>'Пр. 11'!I230</f>
        <v>83</v>
      </c>
      <c r="I585" s="78">
        <f>'Пр. 11'!J230</f>
        <v>83</v>
      </c>
      <c r="J585" s="113">
        <f t="shared" si="39"/>
        <v>0</v>
      </c>
      <c r="K585" s="78">
        <f>'Пр. 11'!L230</f>
        <v>84.9</v>
      </c>
      <c r="L585" s="78">
        <f>'Пр. 11'!M230</f>
        <v>84.9</v>
      </c>
    </row>
    <row r="586" spans="1:12" s="5" customFormat="1" ht="63.75" customHeight="1">
      <c r="A586" s="128" t="s">
        <v>1164</v>
      </c>
      <c r="B586" s="71" t="s">
        <v>341</v>
      </c>
      <c r="C586" s="71" t="s">
        <v>154</v>
      </c>
      <c r="D586" s="71" t="s">
        <v>155</v>
      </c>
      <c r="E586" s="107" t="s">
        <v>156</v>
      </c>
      <c r="F586" s="71"/>
      <c r="G586" s="107"/>
      <c r="H586" s="37">
        <f>H587+H591+H598+H605+H609</f>
        <v>2535.4000000000005</v>
      </c>
      <c r="I586" s="37">
        <f>I587+I591+I598+I605+I609</f>
        <v>2535.4000000000005</v>
      </c>
      <c r="J586" s="108">
        <f t="shared" si="39"/>
        <v>0</v>
      </c>
      <c r="K586" s="37">
        <f>K587+K591+K598+K605+K609</f>
        <v>2562.1</v>
      </c>
      <c r="L586" s="37">
        <f>L587+L591+L598+L605+L609</f>
        <v>2691.8999999999996</v>
      </c>
    </row>
    <row r="587" spans="1:12" s="5" customFormat="1" ht="39" customHeight="1">
      <c r="A587" s="128" t="s">
        <v>938</v>
      </c>
      <c r="B587" s="71" t="s">
        <v>341</v>
      </c>
      <c r="C587" s="71" t="s">
        <v>154</v>
      </c>
      <c r="D587" s="71" t="s">
        <v>153</v>
      </c>
      <c r="E587" s="107" t="s">
        <v>156</v>
      </c>
      <c r="F587" s="71"/>
      <c r="G587" s="107"/>
      <c r="H587" s="37">
        <f aca="true" t="shared" si="42" ref="H587:I589">H588</f>
        <v>1932.9</v>
      </c>
      <c r="I587" s="37">
        <f t="shared" si="42"/>
        <v>1932.9</v>
      </c>
      <c r="J587" s="108">
        <f t="shared" si="39"/>
        <v>0</v>
      </c>
      <c r="K587" s="37">
        <f aca="true" t="shared" si="43" ref="K587:L589">K588</f>
        <v>1948.6</v>
      </c>
      <c r="L587" s="37">
        <f t="shared" si="43"/>
        <v>2065.2</v>
      </c>
    </row>
    <row r="588" spans="1:12" s="4" customFormat="1" ht="87" customHeight="1">
      <c r="A588" s="114" t="s">
        <v>1165</v>
      </c>
      <c r="B588" s="111" t="s">
        <v>341</v>
      </c>
      <c r="C588" s="111" t="s">
        <v>154</v>
      </c>
      <c r="D588" s="111" t="s">
        <v>153</v>
      </c>
      <c r="E588" s="111" t="s">
        <v>547</v>
      </c>
      <c r="F588" s="111"/>
      <c r="G588" s="112"/>
      <c r="H588" s="78">
        <f t="shared" si="42"/>
        <v>1932.9</v>
      </c>
      <c r="I588" s="78">
        <f t="shared" si="42"/>
        <v>1932.9</v>
      </c>
      <c r="J588" s="113">
        <f t="shared" si="39"/>
        <v>0</v>
      </c>
      <c r="K588" s="78">
        <f t="shared" si="43"/>
        <v>1948.6</v>
      </c>
      <c r="L588" s="78">
        <f t="shared" si="43"/>
        <v>2065.2</v>
      </c>
    </row>
    <row r="589" spans="1:12" s="5" customFormat="1" ht="21" customHeight="1">
      <c r="A589" s="114" t="s">
        <v>759</v>
      </c>
      <c r="B589" s="111" t="s">
        <v>341</v>
      </c>
      <c r="C589" s="111" t="s">
        <v>154</v>
      </c>
      <c r="D589" s="111" t="s">
        <v>153</v>
      </c>
      <c r="E589" s="111" t="s">
        <v>547</v>
      </c>
      <c r="F589" s="111" t="s">
        <v>760</v>
      </c>
      <c r="G589" s="112"/>
      <c r="H589" s="78">
        <f t="shared" si="42"/>
        <v>1932.9</v>
      </c>
      <c r="I589" s="78">
        <f t="shared" si="42"/>
        <v>1932.9</v>
      </c>
      <c r="J589" s="113">
        <f t="shared" si="39"/>
        <v>0</v>
      </c>
      <c r="K589" s="78">
        <f t="shared" si="43"/>
        <v>1948.6</v>
      </c>
      <c r="L589" s="78">
        <f t="shared" si="43"/>
        <v>2065.2</v>
      </c>
    </row>
    <row r="590" spans="1:12" s="5" customFormat="1" ht="21" customHeight="1">
      <c r="A590" s="114" t="s">
        <v>72</v>
      </c>
      <c r="B590" s="111" t="s">
        <v>341</v>
      </c>
      <c r="C590" s="111" t="s">
        <v>154</v>
      </c>
      <c r="D590" s="111" t="s">
        <v>153</v>
      </c>
      <c r="E590" s="111" t="s">
        <v>547</v>
      </c>
      <c r="F590" s="111" t="s">
        <v>760</v>
      </c>
      <c r="G590" s="112" t="s">
        <v>73</v>
      </c>
      <c r="H590" s="78">
        <f>'Пр. 11'!I234</f>
        <v>1932.9</v>
      </c>
      <c r="I590" s="78">
        <f>'Пр. 11'!J234</f>
        <v>1932.9</v>
      </c>
      <c r="J590" s="113">
        <f t="shared" si="39"/>
        <v>0</v>
      </c>
      <c r="K590" s="78">
        <f>'Пр. 11'!L234</f>
        <v>1948.6</v>
      </c>
      <c r="L590" s="78">
        <f>'Пр. 11'!M234</f>
        <v>2065.2</v>
      </c>
    </row>
    <row r="591" spans="1:12" s="5" customFormat="1" ht="36" customHeight="1">
      <c r="A591" s="128" t="s">
        <v>939</v>
      </c>
      <c r="B591" s="71" t="s">
        <v>341</v>
      </c>
      <c r="C591" s="71" t="s">
        <v>154</v>
      </c>
      <c r="D591" s="71" t="s">
        <v>166</v>
      </c>
      <c r="E591" s="71" t="s">
        <v>156</v>
      </c>
      <c r="F591" s="71"/>
      <c r="G591" s="107"/>
      <c r="H591" s="37">
        <f>H592+H595</f>
        <v>279.8</v>
      </c>
      <c r="I591" s="37">
        <f>I592+I595</f>
        <v>279.8</v>
      </c>
      <c r="J591" s="113">
        <f t="shared" si="39"/>
        <v>0</v>
      </c>
      <c r="K591" s="37">
        <f>K592+K595</f>
        <v>286.3</v>
      </c>
      <c r="L591" s="37">
        <f>L592+L595</f>
        <v>300</v>
      </c>
    </row>
    <row r="592" spans="1:12" s="5" customFormat="1" ht="33" customHeight="1">
      <c r="A592" s="123" t="s">
        <v>959</v>
      </c>
      <c r="B592" s="111" t="s">
        <v>341</v>
      </c>
      <c r="C592" s="111" t="s">
        <v>154</v>
      </c>
      <c r="D592" s="111" t="s">
        <v>166</v>
      </c>
      <c r="E592" s="111" t="s">
        <v>344</v>
      </c>
      <c r="F592" s="111"/>
      <c r="G592" s="112"/>
      <c r="H592" s="78">
        <f>H593</f>
        <v>140</v>
      </c>
      <c r="I592" s="78">
        <f>I593</f>
        <v>140</v>
      </c>
      <c r="J592" s="113">
        <f t="shared" si="39"/>
        <v>0</v>
      </c>
      <c r="K592" s="78">
        <f>K593</f>
        <v>143</v>
      </c>
      <c r="L592" s="78">
        <f>L593</f>
        <v>150</v>
      </c>
    </row>
    <row r="593" spans="1:12" s="5" customFormat="1" ht="34.5" customHeight="1">
      <c r="A593" s="127" t="s">
        <v>763</v>
      </c>
      <c r="B593" s="111" t="s">
        <v>341</v>
      </c>
      <c r="C593" s="111" t="s">
        <v>154</v>
      </c>
      <c r="D593" s="111" t="s">
        <v>166</v>
      </c>
      <c r="E593" s="111" t="s">
        <v>344</v>
      </c>
      <c r="F593" s="111" t="s">
        <v>764</v>
      </c>
      <c r="G593" s="112"/>
      <c r="H593" s="78">
        <f>H594</f>
        <v>140</v>
      </c>
      <c r="I593" s="78">
        <f>I594</f>
        <v>140</v>
      </c>
      <c r="J593" s="113">
        <f t="shared" si="39"/>
        <v>0</v>
      </c>
      <c r="K593" s="78">
        <f>K594</f>
        <v>143</v>
      </c>
      <c r="L593" s="78">
        <f>L594</f>
        <v>150</v>
      </c>
    </row>
    <row r="594" spans="1:12" s="5" customFormat="1" ht="21" customHeight="1">
      <c r="A594" s="114" t="s">
        <v>72</v>
      </c>
      <c r="B594" s="111" t="s">
        <v>341</v>
      </c>
      <c r="C594" s="111" t="s">
        <v>154</v>
      </c>
      <c r="D594" s="111" t="s">
        <v>166</v>
      </c>
      <c r="E594" s="111" t="s">
        <v>344</v>
      </c>
      <c r="F594" s="111" t="s">
        <v>764</v>
      </c>
      <c r="G594" s="112" t="s">
        <v>73</v>
      </c>
      <c r="H594" s="78">
        <f>'Пр. 11'!I237</f>
        <v>140</v>
      </c>
      <c r="I594" s="78">
        <f>'Пр. 11'!J237</f>
        <v>140</v>
      </c>
      <c r="J594" s="113">
        <f t="shared" si="39"/>
        <v>0</v>
      </c>
      <c r="K594" s="78">
        <f>'Пр. 11'!L237</f>
        <v>143</v>
      </c>
      <c r="L594" s="78">
        <f>'Пр. 11'!M237</f>
        <v>150</v>
      </c>
    </row>
    <row r="595" spans="1:12" s="5" customFormat="1" ht="94.5" customHeight="1">
      <c r="A595" s="127" t="s">
        <v>1151</v>
      </c>
      <c r="B595" s="111" t="s">
        <v>341</v>
      </c>
      <c r="C595" s="111" t="s">
        <v>154</v>
      </c>
      <c r="D595" s="111" t="s">
        <v>166</v>
      </c>
      <c r="E595" s="111" t="s">
        <v>1152</v>
      </c>
      <c r="F595" s="111"/>
      <c r="G595" s="112"/>
      <c r="H595" s="78">
        <f>H596</f>
        <v>139.8</v>
      </c>
      <c r="I595" s="78">
        <f>I596</f>
        <v>139.8</v>
      </c>
      <c r="J595" s="113">
        <f t="shared" si="39"/>
        <v>0</v>
      </c>
      <c r="K595" s="78">
        <f>K596</f>
        <v>143.3</v>
      </c>
      <c r="L595" s="78">
        <f>L596</f>
        <v>150</v>
      </c>
    </row>
    <row r="596" spans="1:12" s="5" customFormat="1" ht="37.5" customHeight="1">
      <c r="A596" s="127" t="s">
        <v>763</v>
      </c>
      <c r="B596" s="111" t="s">
        <v>341</v>
      </c>
      <c r="C596" s="111" t="s">
        <v>154</v>
      </c>
      <c r="D596" s="111" t="s">
        <v>166</v>
      </c>
      <c r="E596" s="111" t="s">
        <v>1152</v>
      </c>
      <c r="F596" s="111" t="s">
        <v>764</v>
      </c>
      <c r="G596" s="112"/>
      <c r="H596" s="78">
        <f>H597</f>
        <v>139.8</v>
      </c>
      <c r="I596" s="78">
        <f>I597</f>
        <v>139.8</v>
      </c>
      <c r="J596" s="113">
        <f t="shared" si="39"/>
        <v>0</v>
      </c>
      <c r="K596" s="78">
        <f>K597</f>
        <v>143.3</v>
      </c>
      <c r="L596" s="78">
        <f>L597</f>
        <v>150</v>
      </c>
    </row>
    <row r="597" spans="1:12" s="5" customFormat="1" ht="21" customHeight="1">
      <c r="A597" s="114" t="s">
        <v>72</v>
      </c>
      <c r="B597" s="111" t="s">
        <v>341</v>
      </c>
      <c r="C597" s="111" t="s">
        <v>154</v>
      </c>
      <c r="D597" s="111" t="s">
        <v>166</v>
      </c>
      <c r="E597" s="111" t="s">
        <v>1152</v>
      </c>
      <c r="F597" s="111" t="s">
        <v>764</v>
      </c>
      <c r="G597" s="112" t="s">
        <v>73</v>
      </c>
      <c r="H597" s="78">
        <f>'Пр. 11'!I239</f>
        <v>139.8</v>
      </c>
      <c r="I597" s="78">
        <f>'Пр. 11'!J239</f>
        <v>139.8</v>
      </c>
      <c r="J597" s="113">
        <f t="shared" si="39"/>
        <v>0</v>
      </c>
      <c r="K597" s="78">
        <f>'Пр. 11'!L239</f>
        <v>143.3</v>
      </c>
      <c r="L597" s="78">
        <f>'Пр. 11'!M239</f>
        <v>150</v>
      </c>
    </row>
    <row r="598" spans="1:12" s="5" customFormat="1" ht="38.25" customHeight="1">
      <c r="A598" s="128" t="s">
        <v>940</v>
      </c>
      <c r="B598" s="71" t="s">
        <v>341</v>
      </c>
      <c r="C598" s="71" t="s">
        <v>154</v>
      </c>
      <c r="D598" s="71" t="s">
        <v>215</v>
      </c>
      <c r="E598" s="71" t="s">
        <v>156</v>
      </c>
      <c r="F598" s="71"/>
      <c r="G598" s="107"/>
      <c r="H598" s="37">
        <f>H599+H602</f>
        <v>106.8</v>
      </c>
      <c r="I598" s="37">
        <f>I599+I602</f>
        <v>106.8</v>
      </c>
      <c r="J598" s="108">
        <f t="shared" si="39"/>
        <v>0</v>
      </c>
      <c r="K598" s="37">
        <f>K599+K602</f>
        <v>110.1</v>
      </c>
      <c r="L598" s="37">
        <f>L599+L602</f>
        <v>118.4</v>
      </c>
    </row>
    <row r="599" spans="1:12" s="5" customFormat="1" ht="48" customHeight="1" hidden="1">
      <c r="A599" s="114" t="s">
        <v>941</v>
      </c>
      <c r="B599" s="111" t="s">
        <v>341</v>
      </c>
      <c r="C599" s="111" t="s">
        <v>154</v>
      </c>
      <c r="D599" s="111" t="s">
        <v>215</v>
      </c>
      <c r="E599" s="111" t="s">
        <v>960</v>
      </c>
      <c r="F599" s="111"/>
      <c r="G599" s="112"/>
      <c r="H599" s="78">
        <f>H600</f>
        <v>0</v>
      </c>
      <c r="I599" s="78">
        <f>I600</f>
        <v>0</v>
      </c>
      <c r="J599" s="113">
        <f t="shared" si="39"/>
        <v>0</v>
      </c>
      <c r="K599" s="78">
        <f>K600</f>
        <v>0</v>
      </c>
      <c r="L599" s="78">
        <f>L600</f>
        <v>0</v>
      </c>
    </row>
    <row r="600" spans="1:12" s="5" customFormat="1" ht="36.75" customHeight="1" hidden="1">
      <c r="A600" s="127" t="s">
        <v>763</v>
      </c>
      <c r="B600" s="111" t="s">
        <v>341</v>
      </c>
      <c r="C600" s="111" t="s">
        <v>154</v>
      </c>
      <c r="D600" s="111" t="s">
        <v>215</v>
      </c>
      <c r="E600" s="111" t="s">
        <v>960</v>
      </c>
      <c r="F600" s="111" t="s">
        <v>764</v>
      </c>
      <c r="G600" s="112"/>
      <c r="H600" s="78">
        <f>H601</f>
        <v>0</v>
      </c>
      <c r="I600" s="78">
        <f>I601</f>
        <v>0</v>
      </c>
      <c r="J600" s="113">
        <f t="shared" si="39"/>
        <v>0</v>
      </c>
      <c r="K600" s="78">
        <f>K601</f>
        <v>0</v>
      </c>
      <c r="L600" s="78">
        <f>L601</f>
        <v>0</v>
      </c>
    </row>
    <row r="601" spans="1:12" s="5" customFormat="1" ht="19.5" customHeight="1" hidden="1">
      <c r="A601" s="114" t="s">
        <v>72</v>
      </c>
      <c r="B601" s="111" t="s">
        <v>341</v>
      </c>
      <c r="C601" s="111" t="s">
        <v>154</v>
      </c>
      <c r="D601" s="111" t="s">
        <v>215</v>
      </c>
      <c r="E601" s="111" t="s">
        <v>960</v>
      </c>
      <c r="F601" s="111" t="s">
        <v>764</v>
      </c>
      <c r="G601" s="112" t="s">
        <v>73</v>
      </c>
      <c r="H601" s="78">
        <f>'Пр. 11'!I242</f>
        <v>0</v>
      </c>
      <c r="I601" s="78">
        <f>'Пр. 11'!J242</f>
        <v>0</v>
      </c>
      <c r="J601" s="113">
        <f t="shared" si="39"/>
        <v>0</v>
      </c>
      <c r="K601" s="78">
        <f>'Пр. 11'!L242</f>
        <v>0</v>
      </c>
      <c r="L601" s="78">
        <f>'Пр. 11'!M242</f>
        <v>0</v>
      </c>
    </row>
    <row r="602" spans="1:12" s="5" customFormat="1" ht="51.75" customHeight="1">
      <c r="A602" s="127" t="s">
        <v>1161</v>
      </c>
      <c r="B602" s="111" t="s">
        <v>341</v>
      </c>
      <c r="C602" s="111" t="s">
        <v>154</v>
      </c>
      <c r="D602" s="111" t="s">
        <v>215</v>
      </c>
      <c r="E602" s="111" t="s">
        <v>1153</v>
      </c>
      <c r="F602" s="111"/>
      <c r="G602" s="112"/>
      <c r="H602" s="78">
        <f>H603</f>
        <v>106.8</v>
      </c>
      <c r="I602" s="78">
        <f>I603</f>
        <v>106.8</v>
      </c>
      <c r="J602" s="113">
        <f t="shared" si="39"/>
        <v>0</v>
      </c>
      <c r="K602" s="78">
        <f>K603</f>
        <v>110.1</v>
      </c>
      <c r="L602" s="78">
        <f>L603</f>
        <v>118.4</v>
      </c>
    </row>
    <row r="603" spans="1:12" s="5" customFormat="1" ht="21" customHeight="1">
      <c r="A603" s="114" t="s">
        <v>759</v>
      </c>
      <c r="B603" s="111" t="s">
        <v>341</v>
      </c>
      <c r="C603" s="111" t="s">
        <v>154</v>
      </c>
      <c r="D603" s="111" t="s">
        <v>215</v>
      </c>
      <c r="E603" s="111" t="s">
        <v>1153</v>
      </c>
      <c r="F603" s="111" t="s">
        <v>760</v>
      </c>
      <c r="G603" s="112"/>
      <c r="H603" s="78">
        <f>H604</f>
        <v>106.8</v>
      </c>
      <c r="I603" s="78">
        <f>I604</f>
        <v>106.8</v>
      </c>
      <c r="J603" s="113">
        <f t="shared" si="39"/>
        <v>0</v>
      </c>
      <c r="K603" s="78">
        <f>K604</f>
        <v>110.1</v>
      </c>
      <c r="L603" s="78">
        <f>L604</f>
        <v>118.4</v>
      </c>
    </row>
    <row r="604" spans="1:12" s="5" customFormat="1" ht="28.5" customHeight="1">
      <c r="A604" s="114" t="s">
        <v>72</v>
      </c>
      <c r="B604" s="111" t="s">
        <v>341</v>
      </c>
      <c r="C604" s="111" t="s">
        <v>154</v>
      </c>
      <c r="D604" s="111" t="s">
        <v>215</v>
      </c>
      <c r="E604" s="111" t="s">
        <v>1153</v>
      </c>
      <c r="F604" s="111" t="s">
        <v>760</v>
      </c>
      <c r="G604" s="112" t="s">
        <v>73</v>
      </c>
      <c r="H604" s="78">
        <f>'Пр. 11'!I244</f>
        <v>106.8</v>
      </c>
      <c r="I604" s="78">
        <f>'Пр. 11'!J244</f>
        <v>106.8</v>
      </c>
      <c r="J604" s="113">
        <f t="shared" si="39"/>
        <v>0</v>
      </c>
      <c r="K604" s="78">
        <f>'Пр. 11'!L244</f>
        <v>110.1</v>
      </c>
      <c r="L604" s="78">
        <f>'Пр. 11'!M244</f>
        <v>118.4</v>
      </c>
    </row>
    <row r="605" spans="1:12" s="5" customFormat="1" ht="44.25" customHeight="1">
      <c r="A605" s="128" t="s">
        <v>942</v>
      </c>
      <c r="B605" s="71" t="s">
        <v>341</v>
      </c>
      <c r="C605" s="71" t="s">
        <v>154</v>
      </c>
      <c r="D605" s="71" t="s">
        <v>232</v>
      </c>
      <c r="E605" s="107" t="s">
        <v>156</v>
      </c>
      <c r="F605" s="71"/>
      <c r="G605" s="107"/>
      <c r="H605" s="37">
        <f aca="true" t="shared" si="44" ref="H605:I607">H606</f>
        <v>175.89999999999998</v>
      </c>
      <c r="I605" s="37">
        <f t="shared" si="44"/>
        <v>175.89999999999998</v>
      </c>
      <c r="J605" s="108">
        <f t="shared" si="39"/>
        <v>0</v>
      </c>
      <c r="K605" s="37">
        <f aca="true" t="shared" si="45" ref="K605:L607">K606</f>
        <v>177.1</v>
      </c>
      <c r="L605" s="37">
        <f t="shared" si="45"/>
        <v>176.6</v>
      </c>
    </row>
    <row r="606" spans="1:12" s="5" customFormat="1" ht="36.75" customHeight="1">
      <c r="A606" s="123" t="s">
        <v>541</v>
      </c>
      <c r="B606" s="111" t="s">
        <v>341</v>
      </c>
      <c r="C606" s="111" t="s">
        <v>154</v>
      </c>
      <c r="D606" s="111" t="s">
        <v>232</v>
      </c>
      <c r="E606" s="111" t="s">
        <v>546</v>
      </c>
      <c r="F606" s="111"/>
      <c r="G606" s="112"/>
      <c r="H606" s="78">
        <f t="shared" si="44"/>
        <v>175.89999999999998</v>
      </c>
      <c r="I606" s="78">
        <f t="shared" si="44"/>
        <v>175.89999999999998</v>
      </c>
      <c r="J606" s="113">
        <f t="shared" si="39"/>
        <v>0</v>
      </c>
      <c r="K606" s="78">
        <f t="shared" si="45"/>
        <v>177.1</v>
      </c>
      <c r="L606" s="78">
        <f t="shared" si="45"/>
        <v>176.6</v>
      </c>
    </row>
    <row r="607" spans="1:12" s="5" customFormat="1" ht="34.5" customHeight="1">
      <c r="A607" s="123" t="s">
        <v>758</v>
      </c>
      <c r="B607" s="111" t="s">
        <v>341</v>
      </c>
      <c r="C607" s="111" t="s">
        <v>154</v>
      </c>
      <c r="D607" s="111" t="s">
        <v>232</v>
      </c>
      <c r="E607" s="111" t="s">
        <v>546</v>
      </c>
      <c r="F607" s="111" t="s">
        <v>757</v>
      </c>
      <c r="G607" s="112"/>
      <c r="H607" s="78">
        <f t="shared" si="44"/>
        <v>175.89999999999998</v>
      </c>
      <c r="I607" s="78">
        <f t="shared" si="44"/>
        <v>175.89999999999998</v>
      </c>
      <c r="J607" s="113">
        <f t="shared" si="39"/>
        <v>0</v>
      </c>
      <c r="K607" s="78">
        <f t="shared" si="45"/>
        <v>177.1</v>
      </c>
      <c r="L607" s="78">
        <f t="shared" si="45"/>
        <v>176.6</v>
      </c>
    </row>
    <row r="608" spans="1:12" s="5" customFormat="1" ht="21" customHeight="1">
      <c r="A608" s="114" t="s">
        <v>72</v>
      </c>
      <c r="B608" s="111" t="s">
        <v>341</v>
      </c>
      <c r="C608" s="111" t="s">
        <v>154</v>
      </c>
      <c r="D608" s="111" t="s">
        <v>232</v>
      </c>
      <c r="E608" s="111" t="s">
        <v>546</v>
      </c>
      <c r="F608" s="111" t="s">
        <v>757</v>
      </c>
      <c r="G608" s="112" t="s">
        <v>73</v>
      </c>
      <c r="H608" s="78">
        <f>'Пр. 11'!I247</f>
        <v>175.89999999999998</v>
      </c>
      <c r="I608" s="78">
        <f>'Пр. 11'!J247</f>
        <v>175.89999999999998</v>
      </c>
      <c r="J608" s="113">
        <f t="shared" si="39"/>
        <v>0</v>
      </c>
      <c r="K608" s="78">
        <f>'Пр. 11'!L247</f>
        <v>177.1</v>
      </c>
      <c r="L608" s="78">
        <f>'Пр. 11'!M247</f>
        <v>176.6</v>
      </c>
    </row>
    <row r="609" spans="1:12" s="5" customFormat="1" ht="69" customHeight="1">
      <c r="A609" s="128" t="s">
        <v>943</v>
      </c>
      <c r="B609" s="71" t="s">
        <v>341</v>
      </c>
      <c r="C609" s="71" t="s">
        <v>154</v>
      </c>
      <c r="D609" s="71" t="s">
        <v>341</v>
      </c>
      <c r="E609" s="107" t="s">
        <v>156</v>
      </c>
      <c r="F609" s="71"/>
      <c r="G609" s="107"/>
      <c r="H609" s="37">
        <f aca="true" t="shared" si="46" ref="H609:I611">H610</f>
        <v>40.000000000000014</v>
      </c>
      <c r="I609" s="37">
        <f t="shared" si="46"/>
        <v>40.000000000000014</v>
      </c>
      <c r="J609" s="108">
        <f t="shared" si="39"/>
        <v>0</v>
      </c>
      <c r="K609" s="37">
        <f aca="true" t="shared" si="47" ref="K609:L611">K610</f>
        <v>40</v>
      </c>
      <c r="L609" s="37">
        <f t="shared" si="47"/>
        <v>31.69999999999999</v>
      </c>
    </row>
    <row r="610" spans="1:12" s="4" customFormat="1" ht="53.25" customHeight="1">
      <c r="A610" s="114" t="s">
        <v>944</v>
      </c>
      <c r="B610" s="111" t="s">
        <v>341</v>
      </c>
      <c r="C610" s="111" t="s">
        <v>154</v>
      </c>
      <c r="D610" s="111" t="s">
        <v>341</v>
      </c>
      <c r="E610" s="112" t="s">
        <v>345</v>
      </c>
      <c r="F610" s="111"/>
      <c r="G610" s="112"/>
      <c r="H610" s="78">
        <f t="shared" si="46"/>
        <v>40.000000000000014</v>
      </c>
      <c r="I610" s="78">
        <f t="shared" si="46"/>
        <v>40.000000000000014</v>
      </c>
      <c r="J610" s="113">
        <f t="shared" si="39"/>
        <v>0</v>
      </c>
      <c r="K610" s="78">
        <f t="shared" si="47"/>
        <v>40</v>
      </c>
      <c r="L610" s="78">
        <f t="shared" si="47"/>
        <v>31.69999999999999</v>
      </c>
    </row>
    <row r="611" spans="1:12" s="4" customFormat="1" ht="36" customHeight="1">
      <c r="A611" s="123" t="s">
        <v>758</v>
      </c>
      <c r="B611" s="111" t="s">
        <v>341</v>
      </c>
      <c r="C611" s="111" t="s">
        <v>154</v>
      </c>
      <c r="D611" s="111" t="s">
        <v>341</v>
      </c>
      <c r="E611" s="112" t="s">
        <v>345</v>
      </c>
      <c r="F611" s="111" t="s">
        <v>757</v>
      </c>
      <c r="G611" s="112"/>
      <c r="H611" s="78">
        <f t="shared" si="46"/>
        <v>40.000000000000014</v>
      </c>
      <c r="I611" s="78">
        <f t="shared" si="46"/>
        <v>40.000000000000014</v>
      </c>
      <c r="J611" s="113">
        <f t="shared" si="39"/>
        <v>0</v>
      </c>
      <c r="K611" s="78">
        <f t="shared" si="47"/>
        <v>40</v>
      </c>
      <c r="L611" s="78">
        <f t="shared" si="47"/>
        <v>31.69999999999999</v>
      </c>
    </row>
    <row r="612" spans="1:12" s="4" customFormat="1" ht="19.5" customHeight="1">
      <c r="A612" s="114" t="s">
        <v>72</v>
      </c>
      <c r="B612" s="111" t="s">
        <v>341</v>
      </c>
      <c r="C612" s="111" t="s">
        <v>154</v>
      </c>
      <c r="D612" s="111" t="s">
        <v>341</v>
      </c>
      <c r="E612" s="112" t="s">
        <v>345</v>
      </c>
      <c r="F612" s="111" t="s">
        <v>757</v>
      </c>
      <c r="G612" s="112" t="s">
        <v>73</v>
      </c>
      <c r="H612" s="78">
        <f>'Пр. 11'!I250</f>
        <v>40.000000000000014</v>
      </c>
      <c r="I612" s="78">
        <f>'Пр. 11'!J250</f>
        <v>40.000000000000014</v>
      </c>
      <c r="J612" s="113">
        <f t="shared" si="39"/>
        <v>0</v>
      </c>
      <c r="K612" s="78">
        <f>'Пр. 11'!L250</f>
        <v>40</v>
      </c>
      <c r="L612" s="78">
        <f>'Пр. 11'!M250</f>
        <v>31.69999999999999</v>
      </c>
    </row>
    <row r="613" spans="1:12" s="4" customFormat="1" ht="39.75" customHeight="1">
      <c r="A613" s="122" t="s">
        <v>145</v>
      </c>
      <c r="B613" s="71" t="s">
        <v>350</v>
      </c>
      <c r="C613" s="71" t="s">
        <v>154</v>
      </c>
      <c r="D613" s="71" t="s">
        <v>155</v>
      </c>
      <c r="E613" s="71" t="s">
        <v>156</v>
      </c>
      <c r="F613" s="71"/>
      <c r="G613" s="107"/>
      <c r="H613" s="37">
        <f>H614+H626</f>
        <v>4957.5</v>
      </c>
      <c r="I613" s="37">
        <f>I614+I626</f>
        <v>4957.5</v>
      </c>
      <c r="J613" s="108">
        <f aca="true" t="shared" si="48" ref="J613:J669">I613-H613</f>
        <v>0</v>
      </c>
      <c r="K613" s="37">
        <f>K614+K626</f>
        <v>5008.4</v>
      </c>
      <c r="L613" s="37">
        <f>L614+L626</f>
        <v>5033.8</v>
      </c>
    </row>
    <row r="614" spans="1:12" s="4" customFormat="1" ht="37.5" customHeight="1">
      <c r="A614" s="109" t="s">
        <v>355</v>
      </c>
      <c r="B614" s="71" t="s">
        <v>350</v>
      </c>
      <c r="C614" s="71" t="s">
        <v>136</v>
      </c>
      <c r="D614" s="71" t="s">
        <v>155</v>
      </c>
      <c r="E614" s="71" t="s">
        <v>156</v>
      </c>
      <c r="F614" s="71"/>
      <c r="G614" s="107"/>
      <c r="H614" s="37">
        <f>H615</f>
        <v>3519.1</v>
      </c>
      <c r="I614" s="37">
        <f>I615</f>
        <v>3519.1</v>
      </c>
      <c r="J614" s="108">
        <f t="shared" si="48"/>
        <v>0</v>
      </c>
      <c r="K614" s="37">
        <f>K615</f>
        <v>3519.1</v>
      </c>
      <c r="L614" s="37">
        <f>L615</f>
        <v>3519</v>
      </c>
    </row>
    <row r="615" spans="1:12" s="5" customFormat="1" ht="44.25" customHeight="1">
      <c r="A615" s="109" t="s">
        <v>356</v>
      </c>
      <c r="B615" s="71" t="s">
        <v>350</v>
      </c>
      <c r="C615" s="71" t="s">
        <v>136</v>
      </c>
      <c r="D615" s="71" t="s">
        <v>153</v>
      </c>
      <c r="E615" s="71" t="s">
        <v>156</v>
      </c>
      <c r="F615" s="71"/>
      <c r="G615" s="107"/>
      <c r="H615" s="37">
        <f>H616+H621</f>
        <v>3519.1</v>
      </c>
      <c r="I615" s="37">
        <f>I616+I621</f>
        <v>3519.1</v>
      </c>
      <c r="J615" s="108">
        <f t="shared" si="48"/>
        <v>0</v>
      </c>
      <c r="K615" s="37">
        <f>K616+K621</f>
        <v>3519.1</v>
      </c>
      <c r="L615" s="37">
        <f>L616+L621</f>
        <v>3519</v>
      </c>
    </row>
    <row r="616" spans="1:12" s="4" customFormat="1" ht="33.75" customHeight="1">
      <c r="A616" s="119" t="s">
        <v>357</v>
      </c>
      <c r="B616" s="111" t="s">
        <v>350</v>
      </c>
      <c r="C616" s="111" t="s">
        <v>136</v>
      </c>
      <c r="D616" s="111" t="s">
        <v>153</v>
      </c>
      <c r="E616" s="111" t="s">
        <v>358</v>
      </c>
      <c r="F616" s="111"/>
      <c r="G616" s="112"/>
      <c r="H616" s="78">
        <f>H617+H619</f>
        <v>2750.1</v>
      </c>
      <c r="I616" s="78">
        <f>I617+I619</f>
        <v>2750.1</v>
      </c>
      <c r="J616" s="113">
        <f t="shared" si="48"/>
        <v>0</v>
      </c>
      <c r="K616" s="78">
        <f>K617+K619</f>
        <v>2750.1</v>
      </c>
      <c r="L616" s="78">
        <f>L617+L619</f>
        <v>2750.1</v>
      </c>
    </row>
    <row r="617" spans="1:12" s="4" customFormat="1" ht="64.5" customHeight="1">
      <c r="A617" s="114" t="s">
        <v>755</v>
      </c>
      <c r="B617" s="111" t="s">
        <v>350</v>
      </c>
      <c r="C617" s="111" t="s">
        <v>136</v>
      </c>
      <c r="D617" s="111" t="s">
        <v>153</v>
      </c>
      <c r="E617" s="111" t="s">
        <v>358</v>
      </c>
      <c r="F617" s="111" t="s">
        <v>756</v>
      </c>
      <c r="G617" s="112"/>
      <c r="H617" s="78">
        <f>H618</f>
        <v>2638.9</v>
      </c>
      <c r="I617" s="78">
        <f>I618</f>
        <v>2638.9</v>
      </c>
      <c r="J617" s="113">
        <f t="shared" si="48"/>
        <v>0</v>
      </c>
      <c r="K617" s="78">
        <f>K618</f>
        <v>2638.9</v>
      </c>
      <c r="L617" s="78">
        <f>L618</f>
        <v>2638.9</v>
      </c>
    </row>
    <row r="618" spans="1:12" s="4" customFormat="1" ht="54.75" customHeight="1">
      <c r="A618" s="114" t="s">
        <v>48</v>
      </c>
      <c r="B618" s="111" t="s">
        <v>350</v>
      </c>
      <c r="C618" s="111" t="s">
        <v>136</v>
      </c>
      <c r="D618" s="111" t="s">
        <v>153</v>
      </c>
      <c r="E618" s="111" t="s">
        <v>358</v>
      </c>
      <c r="F618" s="111" t="s">
        <v>756</v>
      </c>
      <c r="G618" s="112" t="s">
        <v>49</v>
      </c>
      <c r="H618" s="78">
        <f>'Пр. 11'!I36</f>
        <v>2638.9</v>
      </c>
      <c r="I618" s="78">
        <f>'Пр. 11'!J36</f>
        <v>2638.9</v>
      </c>
      <c r="J618" s="113">
        <f t="shared" si="48"/>
        <v>0</v>
      </c>
      <c r="K618" s="78">
        <f>'Пр. 11'!L36</f>
        <v>2638.9</v>
      </c>
      <c r="L618" s="78">
        <f>'Пр. 11'!M36</f>
        <v>2638.9</v>
      </c>
    </row>
    <row r="619" spans="1:12" s="4" customFormat="1" ht="35.25" customHeight="1">
      <c r="A619" s="114" t="s">
        <v>758</v>
      </c>
      <c r="B619" s="111" t="s">
        <v>350</v>
      </c>
      <c r="C619" s="111" t="s">
        <v>136</v>
      </c>
      <c r="D619" s="111" t="s">
        <v>153</v>
      </c>
      <c r="E619" s="111" t="s">
        <v>358</v>
      </c>
      <c r="F619" s="111" t="s">
        <v>757</v>
      </c>
      <c r="G619" s="112"/>
      <c r="H619" s="78">
        <f>H620</f>
        <v>111.2</v>
      </c>
      <c r="I619" s="78">
        <f>I620</f>
        <v>111.2</v>
      </c>
      <c r="J619" s="113">
        <f t="shared" si="48"/>
        <v>0</v>
      </c>
      <c r="K619" s="78">
        <f>K620</f>
        <v>111.2</v>
      </c>
      <c r="L619" s="78">
        <f>L620</f>
        <v>111.2</v>
      </c>
    </row>
    <row r="620" spans="1:12" s="4" customFormat="1" ht="50.25" customHeight="1">
      <c r="A620" s="114" t="s">
        <v>48</v>
      </c>
      <c r="B620" s="111" t="s">
        <v>350</v>
      </c>
      <c r="C620" s="111" t="s">
        <v>136</v>
      </c>
      <c r="D620" s="111" t="s">
        <v>153</v>
      </c>
      <c r="E620" s="111" t="s">
        <v>358</v>
      </c>
      <c r="F620" s="111" t="s">
        <v>757</v>
      </c>
      <c r="G620" s="112" t="s">
        <v>49</v>
      </c>
      <c r="H620" s="78">
        <f>'Пр. 11'!I37</f>
        <v>111.2</v>
      </c>
      <c r="I620" s="78">
        <f>'Пр. 11'!J37</f>
        <v>111.2</v>
      </c>
      <c r="J620" s="113">
        <f t="shared" si="48"/>
        <v>0</v>
      </c>
      <c r="K620" s="78">
        <f>'Пр. 11'!L37</f>
        <v>111.2</v>
      </c>
      <c r="L620" s="78">
        <f>'Пр. 11'!M37</f>
        <v>111.2</v>
      </c>
    </row>
    <row r="621" spans="1:12" s="4" customFormat="1" ht="18.75" customHeight="1">
      <c r="A621" s="119" t="s">
        <v>359</v>
      </c>
      <c r="B621" s="111" t="s">
        <v>350</v>
      </c>
      <c r="C621" s="111" t="s">
        <v>136</v>
      </c>
      <c r="D621" s="111" t="s">
        <v>153</v>
      </c>
      <c r="E621" s="111" t="s">
        <v>360</v>
      </c>
      <c r="F621" s="111"/>
      <c r="G621" s="112"/>
      <c r="H621" s="78">
        <f>H622+H624</f>
        <v>769</v>
      </c>
      <c r="I621" s="78">
        <f>I622+I624</f>
        <v>769</v>
      </c>
      <c r="J621" s="113">
        <f t="shared" si="48"/>
        <v>0</v>
      </c>
      <c r="K621" s="78">
        <f>K622+K624</f>
        <v>769</v>
      </c>
      <c r="L621" s="78">
        <f>L622+L624</f>
        <v>768.9000000000001</v>
      </c>
    </row>
    <row r="622" spans="1:12" s="4" customFormat="1" ht="68.25" customHeight="1">
      <c r="A622" s="114" t="s">
        <v>755</v>
      </c>
      <c r="B622" s="111" t="s">
        <v>350</v>
      </c>
      <c r="C622" s="111" t="s">
        <v>136</v>
      </c>
      <c r="D622" s="111" t="s">
        <v>153</v>
      </c>
      <c r="E622" s="111" t="s">
        <v>360</v>
      </c>
      <c r="F622" s="111" t="s">
        <v>756</v>
      </c>
      <c r="G622" s="112"/>
      <c r="H622" s="78">
        <f>H623</f>
        <v>702.1</v>
      </c>
      <c r="I622" s="78">
        <f>I623</f>
        <v>702.1</v>
      </c>
      <c r="J622" s="113">
        <f t="shared" si="48"/>
        <v>0</v>
      </c>
      <c r="K622" s="78">
        <f>K623</f>
        <v>702.1</v>
      </c>
      <c r="L622" s="78">
        <f>L623</f>
        <v>702.1</v>
      </c>
    </row>
    <row r="623" spans="1:12" s="4" customFormat="1" ht="51" customHeight="1">
      <c r="A623" s="114" t="s">
        <v>48</v>
      </c>
      <c r="B623" s="111" t="s">
        <v>350</v>
      </c>
      <c r="C623" s="111" t="s">
        <v>136</v>
      </c>
      <c r="D623" s="111" t="s">
        <v>153</v>
      </c>
      <c r="E623" s="111" t="s">
        <v>360</v>
      </c>
      <c r="F623" s="111" t="s">
        <v>756</v>
      </c>
      <c r="G623" s="112" t="s">
        <v>49</v>
      </c>
      <c r="H623" s="78">
        <f>'Пр. 11'!I39</f>
        <v>702.1</v>
      </c>
      <c r="I623" s="78">
        <f>'Пр. 11'!J39</f>
        <v>702.1</v>
      </c>
      <c r="J623" s="113">
        <f t="shared" si="48"/>
        <v>0</v>
      </c>
      <c r="K623" s="78">
        <f>'Пр. 11'!L39</f>
        <v>702.1</v>
      </c>
      <c r="L623" s="78">
        <f>'Пр. 11'!M39</f>
        <v>702.1</v>
      </c>
    </row>
    <row r="624" spans="1:12" s="4" customFormat="1" ht="33.75" customHeight="1">
      <c r="A624" s="114" t="s">
        <v>758</v>
      </c>
      <c r="B624" s="111" t="s">
        <v>350</v>
      </c>
      <c r="C624" s="111" t="s">
        <v>136</v>
      </c>
      <c r="D624" s="111" t="s">
        <v>153</v>
      </c>
      <c r="E624" s="111" t="s">
        <v>360</v>
      </c>
      <c r="F624" s="111" t="s">
        <v>757</v>
      </c>
      <c r="G624" s="112"/>
      <c r="H624" s="78">
        <f>H625</f>
        <v>66.9</v>
      </c>
      <c r="I624" s="78">
        <f>I625</f>
        <v>66.9</v>
      </c>
      <c r="J624" s="113">
        <f t="shared" si="48"/>
        <v>0</v>
      </c>
      <c r="K624" s="78">
        <f>K625</f>
        <v>66.9</v>
      </c>
      <c r="L624" s="78">
        <f>L625</f>
        <v>66.80000000000001</v>
      </c>
    </row>
    <row r="625" spans="1:12" s="4" customFormat="1" ht="48" customHeight="1">
      <c r="A625" s="114" t="s">
        <v>48</v>
      </c>
      <c r="B625" s="111" t="s">
        <v>350</v>
      </c>
      <c r="C625" s="111" t="s">
        <v>136</v>
      </c>
      <c r="D625" s="111" t="s">
        <v>153</v>
      </c>
      <c r="E625" s="111" t="s">
        <v>360</v>
      </c>
      <c r="F625" s="111" t="s">
        <v>757</v>
      </c>
      <c r="G625" s="112" t="s">
        <v>49</v>
      </c>
      <c r="H625" s="78">
        <f>'Пр. 11'!I40</f>
        <v>66.9</v>
      </c>
      <c r="I625" s="78">
        <f>'Пр. 11'!J40</f>
        <v>66.9</v>
      </c>
      <c r="J625" s="113">
        <f t="shared" si="48"/>
        <v>0</v>
      </c>
      <c r="K625" s="78">
        <f>'Пр. 11'!L40</f>
        <v>66.9</v>
      </c>
      <c r="L625" s="78">
        <f>'Пр. 11'!M40</f>
        <v>66.80000000000001</v>
      </c>
    </row>
    <row r="626" spans="1:12" s="4" customFormat="1" ht="77.25" customHeight="1">
      <c r="A626" s="109" t="s">
        <v>910</v>
      </c>
      <c r="B626" s="71" t="s">
        <v>350</v>
      </c>
      <c r="C626" s="71" t="s">
        <v>137</v>
      </c>
      <c r="D626" s="71" t="s">
        <v>155</v>
      </c>
      <c r="E626" s="71" t="s">
        <v>156</v>
      </c>
      <c r="F626" s="71"/>
      <c r="G626" s="107"/>
      <c r="H626" s="37">
        <f>H627+H634+H644+H657</f>
        <v>1438.4</v>
      </c>
      <c r="I626" s="37">
        <f>I627+I634+I644+I657</f>
        <v>1438.4</v>
      </c>
      <c r="J626" s="108">
        <f t="shared" si="48"/>
        <v>0</v>
      </c>
      <c r="K626" s="37">
        <f>K627+K634+K644+K657</f>
        <v>1489.3</v>
      </c>
      <c r="L626" s="37">
        <f>L627+L634+L644+L657</f>
        <v>1514.8</v>
      </c>
    </row>
    <row r="627" spans="1:12" s="5" customFormat="1" ht="36" customHeight="1">
      <c r="A627" s="128" t="s">
        <v>361</v>
      </c>
      <c r="B627" s="71" t="s">
        <v>350</v>
      </c>
      <c r="C627" s="71" t="s">
        <v>137</v>
      </c>
      <c r="D627" s="71" t="s">
        <v>153</v>
      </c>
      <c r="E627" s="71" t="s">
        <v>156</v>
      </c>
      <c r="F627" s="71"/>
      <c r="G627" s="107"/>
      <c r="H627" s="37">
        <f>H628+H631</f>
        <v>825.9</v>
      </c>
      <c r="I627" s="37">
        <f>I628+I631</f>
        <v>797.1</v>
      </c>
      <c r="J627" s="108">
        <f t="shared" si="48"/>
        <v>-28.799999999999955</v>
      </c>
      <c r="K627" s="37">
        <f>K628+K631</f>
        <v>845</v>
      </c>
      <c r="L627" s="37">
        <f>L628+L631</f>
        <v>845</v>
      </c>
    </row>
    <row r="628" spans="1:12" s="4" customFormat="1" ht="27.75" customHeight="1">
      <c r="A628" s="119" t="s">
        <v>362</v>
      </c>
      <c r="B628" s="111" t="s">
        <v>350</v>
      </c>
      <c r="C628" s="111" t="s">
        <v>137</v>
      </c>
      <c r="D628" s="111" t="s">
        <v>153</v>
      </c>
      <c r="E628" s="111" t="s">
        <v>363</v>
      </c>
      <c r="F628" s="111"/>
      <c r="G628" s="112"/>
      <c r="H628" s="78">
        <f>H629</f>
        <v>806.1</v>
      </c>
      <c r="I628" s="78">
        <f>I629</f>
        <v>777.3000000000001</v>
      </c>
      <c r="J628" s="113">
        <f t="shared" si="48"/>
        <v>-28.799999999999955</v>
      </c>
      <c r="K628" s="78">
        <f>K629</f>
        <v>824.7</v>
      </c>
      <c r="L628" s="78">
        <f>L629</f>
        <v>824.7</v>
      </c>
    </row>
    <row r="629" spans="1:12" s="4" customFormat="1" ht="31.5" customHeight="1">
      <c r="A629" s="114" t="s">
        <v>758</v>
      </c>
      <c r="B629" s="111" t="s">
        <v>350</v>
      </c>
      <c r="C629" s="111" t="s">
        <v>137</v>
      </c>
      <c r="D629" s="111" t="s">
        <v>153</v>
      </c>
      <c r="E629" s="111" t="s">
        <v>363</v>
      </c>
      <c r="F629" s="111" t="s">
        <v>757</v>
      </c>
      <c r="G629" s="112"/>
      <c r="H629" s="78">
        <f>H630</f>
        <v>806.1</v>
      </c>
      <c r="I629" s="78">
        <f>I630</f>
        <v>777.3000000000001</v>
      </c>
      <c r="J629" s="113">
        <f t="shared" si="48"/>
        <v>-28.799999999999955</v>
      </c>
      <c r="K629" s="78">
        <f>K630</f>
        <v>824.7</v>
      </c>
      <c r="L629" s="78">
        <f>L630</f>
        <v>824.7</v>
      </c>
    </row>
    <row r="630" spans="1:12" s="4" customFormat="1" ht="36" customHeight="1">
      <c r="A630" s="119" t="s">
        <v>364</v>
      </c>
      <c r="B630" s="111" t="s">
        <v>350</v>
      </c>
      <c r="C630" s="111" t="s">
        <v>137</v>
      </c>
      <c r="D630" s="111" t="s">
        <v>153</v>
      </c>
      <c r="E630" s="111" t="s">
        <v>363</v>
      </c>
      <c r="F630" s="111" t="s">
        <v>757</v>
      </c>
      <c r="G630" s="112" t="s">
        <v>61</v>
      </c>
      <c r="H630" s="78">
        <f>'Пр. 11'!I143</f>
        <v>806.1</v>
      </c>
      <c r="I630" s="78">
        <f>'Пр. 11'!J143</f>
        <v>777.3000000000001</v>
      </c>
      <c r="J630" s="113">
        <f t="shared" si="48"/>
        <v>-28.799999999999955</v>
      </c>
      <c r="K630" s="78">
        <f>'Пр. 11'!L143</f>
        <v>824.7</v>
      </c>
      <c r="L630" s="78">
        <f>'Пр. 11'!M143</f>
        <v>824.7</v>
      </c>
    </row>
    <row r="631" spans="1:12" s="4" customFormat="1" ht="36.75" customHeight="1">
      <c r="A631" s="119" t="s">
        <v>365</v>
      </c>
      <c r="B631" s="111" t="s">
        <v>350</v>
      </c>
      <c r="C631" s="111" t="s">
        <v>137</v>
      </c>
      <c r="D631" s="111" t="s">
        <v>153</v>
      </c>
      <c r="E631" s="111" t="s">
        <v>366</v>
      </c>
      <c r="F631" s="111"/>
      <c r="G631" s="112"/>
      <c r="H631" s="78">
        <f>H632</f>
        <v>19.8</v>
      </c>
      <c r="I631" s="78">
        <f>I632</f>
        <v>19.8</v>
      </c>
      <c r="J631" s="113">
        <f t="shared" si="48"/>
        <v>0</v>
      </c>
      <c r="K631" s="78">
        <f>K632</f>
        <v>20.3</v>
      </c>
      <c r="L631" s="78">
        <f>L632</f>
        <v>20.3</v>
      </c>
    </row>
    <row r="632" spans="1:12" s="4" customFormat="1" ht="35.25" customHeight="1">
      <c r="A632" s="114" t="s">
        <v>758</v>
      </c>
      <c r="B632" s="111" t="s">
        <v>350</v>
      </c>
      <c r="C632" s="111" t="s">
        <v>137</v>
      </c>
      <c r="D632" s="111" t="s">
        <v>153</v>
      </c>
      <c r="E632" s="111" t="s">
        <v>366</v>
      </c>
      <c r="F632" s="111" t="s">
        <v>757</v>
      </c>
      <c r="G632" s="112"/>
      <c r="H632" s="78">
        <f>H633</f>
        <v>19.8</v>
      </c>
      <c r="I632" s="78">
        <f>I633</f>
        <v>19.8</v>
      </c>
      <c r="J632" s="113">
        <f t="shared" si="48"/>
        <v>0</v>
      </c>
      <c r="K632" s="78">
        <f>K633</f>
        <v>20.3</v>
      </c>
      <c r="L632" s="78">
        <f>L633</f>
        <v>20.3</v>
      </c>
    </row>
    <row r="633" spans="1:12" s="4" customFormat="1" ht="36" customHeight="1">
      <c r="A633" s="119" t="s">
        <v>364</v>
      </c>
      <c r="B633" s="111" t="s">
        <v>350</v>
      </c>
      <c r="C633" s="111" t="s">
        <v>137</v>
      </c>
      <c r="D633" s="111" t="s">
        <v>153</v>
      </c>
      <c r="E633" s="111" t="s">
        <v>366</v>
      </c>
      <c r="F633" s="111" t="s">
        <v>757</v>
      </c>
      <c r="G633" s="112" t="s">
        <v>61</v>
      </c>
      <c r="H633" s="78">
        <f>'Пр. 11'!I145</f>
        <v>19.8</v>
      </c>
      <c r="I633" s="78">
        <f>'Пр. 11'!J145</f>
        <v>19.8</v>
      </c>
      <c r="J633" s="113">
        <f t="shared" si="48"/>
        <v>0</v>
      </c>
      <c r="K633" s="78">
        <f>'Пр. 11'!L145</f>
        <v>20.3</v>
      </c>
      <c r="L633" s="78">
        <f>'Пр. 11'!M145</f>
        <v>20.3</v>
      </c>
    </row>
    <row r="634" spans="1:12" s="5" customFormat="1" ht="40.5" customHeight="1">
      <c r="A634" s="128" t="s">
        <v>367</v>
      </c>
      <c r="B634" s="71" t="s">
        <v>350</v>
      </c>
      <c r="C634" s="71" t="s">
        <v>137</v>
      </c>
      <c r="D634" s="71" t="s">
        <v>166</v>
      </c>
      <c r="E634" s="71" t="s">
        <v>156</v>
      </c>
      <c r="F634" s="71"/>
      <c r="G634" s="107"/>
      <c r="H634" s="37">
        <f>H635+H638+H641</f>
        <v>128.8</v>
      </c>
      <c r="I634" s="37">
        <f>I635+I638+I641</f>
        <v>227.8</v>
      </c>
      <c r="J634" s="108">
        <f t="shared" si="48"/>
        <v>99</v>
      </c>
      <c r="K634" s="37">
        <f>K635+K638+K641</f>
        <v>131.8</v>
      </c>
      <c r="L634" s="37">
        <f>L635+L638+L641</f>
        <v>131.8</v>
      </c>
    </row>
    <row r="635" spans="1:12" s="4" customFormat="1" ht="39.75" customHeight="1">
      <c r="A635" s="119" t="s">
        <v>1096</v>
      </c>
      <c r="B635" s="111" t="s">
        <v>350</v>
      </c>
      <c r="C635" s="111" t="s">
        <v>137</v>
      </c>
      <c r="D635" s="111" t="s">
        <v>166</v>
      </c>
      <c r="E635" s="111" t="s">
        <v>368</v>
      </c>
      <c r="F635" s="111"/>
      <c r="G635" s="112"/>
      <c r="H635" s="78">
        <f>H636</f>
        <v>100.00000000000001</v>
      </c>
      <c r="I635" s="78">
        <f>I636</f>
        <v>100.00000000000001</v>
      </c>
      <c r="J635" s="113">
        <f t="shared" si="48"/>
        <v>0</v>
      </c>
      <c r="K635" s="78">
        <f>K636</f>
        <v>50.000000000000014</v>
      </c>
      <c r="L635" s="78">
        <f>L636</f>
        <v>50.000000000000014</v>
      </c>
    </row>
    <row r="636" spans="1:12" s="4" customFormat="1" ht="32.25" customHeight="1">
      <c r="A636" s="114" t="s">
        <v>758</v>
      </c>
      <c r="B636" s="111" t="s">
        <v>350</v>
      </c>
      <c r="C636" s="111" t="s">
        <v>137</v>
      </c>
      <c r="D636" s="111" t="s">
        <v>166</v>
      </c>
      <c r="E636" s="111" t="s">
        <v>368</v>
      </c>
      <c r="F636" s="111" t="s">
        <v>757</v>
      </c>
      <c r="G636" s="112"/>
      <c r="H636" s="78">
        <f>H637</f>
        <v>100.00000000000001</v>
      </c>
      <c r="I636" s="78">
        <f>I637</f>
        <v>100.00000000000001</v>
      </c>
      <c r="J636" s="113">
        <f t="shared" si="48"/>
        <v>0</v>
      </c>
      <c r="K636" s="78">
        <f>K637</f>
        <v>50.000000000000014</v>
      </c>
      <c r="L636" s="78">
        <f>L637</f>
        <v>50.000000000000014</v>
      </c>
    </row>
    <row r="637" spans="1:12" s="4" customFormat="1" ht="35.25" customHeight="1">
      <c r="A637" s="119" t="s">
        <v>364</v>
      </c>
      <c r="B637" s="111" t="s">
        <v>350</v>
      </c>
      <c r="C637" s="111" t="s">
        <v>137</v>
      </c>
      <c r="D637" s="111" t="s">
        <v>166</v>
      </c>
      <c r="E637" s="111" t="s">
        <v>368</v>
      </c>
      <c r="F637" s="111" t="s">
        <v>757</v>
      </c>
      <c r="G637" s="112" t="s">
        <v>61</v>
      </c>
      <c r="H637" s="78">
        <f>'Пр. 11'!I148</f>
        <v>100.00000000000001</v>
      </c>
      <c r="I637" s="78">
        <f>'Пр. 11'!J148</f>
        <v>100.00000000000001</v>
      </c>
      <c r="J637" s="113">
        <f t="shared" si="48"/>
        <v>0</v>
      </c>
      <c r="K637" s="78">
        <f>'Пр. 11'!L148</f>
        <v>50.000000000000014</v>
      </c>
      <c r="L637" s="78">
        <f>'Пр. 11'!M148</f>
        <v>50.000000000000014</v>
      </c>
    </row>
    <row r="638" spans="1:12" s="4" customFormat="1" ht="22.5" customHeight="1">
      <c r="A638" s="119" t="s">
        <v>911</v>
      </c>
      <c r="B638" s="111" t="s">
        <v>350</v>
      </c>
      <c r="C638" s="111" t="s">
        <v>137</v>
      </c>
      <c r="D638" s="111" t="s">
        <v>166</v>
      </c>
      <c r="E638" s="111" t="s">
        <v>961</v>
      </c>
      <c r="F638" s="111"/>
      <c r="G638" s="112"/>
      <c r="H638" s="78">
        <f>H639</f>
        <v>28.799999999999997</v>
      </c>
      <c r="I638" s="78">
        <f>I639</f>
        <v>28.799999999999997</v>
      </c>
      <c r="J638" s="113">
        <f t="shared" si="48"/>
        <v>0</v>
      </c>
      <c r="K638" s="78">
        <f>K639</f>
        <v>81.8</v>
      </c>
      <c r="L638" s="78">
        <f>L639</f>
        <v>81.8</v>
      </c>
    </row>
    <row r="639" spans="1:12" s="4" customFormat="1" ht="36" customHeight="1">
      <c r="A639" s="114" t="s">
        <v>758</v>
      </c>
      <c r="B639" s="111" t="s">
        <v>350</v>
      </c>
      <c r="C639" s="111" t="s">
        <v>137</v>
      </c>
      <c r="D639" s="111" t="s">
        <v>166</v>
      </c>
      <c r="E639" s="111" t="s">
        <v>961</v>
      </c>
      <c r="F639" s="111" t="s">
        <v>757</v>
      </c>
      <c r="G639" s="112"/>
      <c r="H639" s="78">
        <f>H640</f>
        <v>28.799999999999997</v>
      </c>
      <c r="I639" s="78">
        <f>I640</f>
        <v>28.799999999999997</v>
      </c>
      <c r="J639" s="113">
        <f t="shared" si="48"/>
        <v>0</v>
      </c>
      <c r="K639" s="78">
        <f>K640</f>
        <v>81.8</v>
      </c>
      <c r="L639" s="78">
        <f>L640</f>
        <v>81.8</v>
      </c>
    </row>
    <row r="640" spans="1:12" s="4" customFormat="1" ht="38.25" customHeight="1">
      <c r="A640" s="119" t="s">
        <v>364</v>
      </c>
      <c r="B640" s="111" t="s">
        <v>350</v>
      </c>
      <c r="C640" s="111" t="s">
        <v>137</v>
      </c>
      <c r="D640" s="111" t="s">
        <v>166</v>
      </c>
      <c r="E640" s="111" t="s">
        <v>961</v>
      </c>
      <c r="F640" s="111" t="s">
        <v>757</v>
      </c>
      <c r="G640" s="112" t="s">
        <v>61</v>
      </c>
      <c r="H640" s="78">
        <f>'Пр. 11'!I150</f>
        <v>28.799999999999997</v>
      </c>
      <c r="I640" s="78">
        <f>'Пр. 11'!J150</f>
        <v>28.799999999999997</v>
      </c>
      <c r="J640" s="113">
        <f t="shared" si="48"/>
        <v>0</v>
      </c>
      <c r="K640" s="78">
        <f>'Пр. 11'!L150</f>
        <v>81.8</v>
      </c>
      <c r="L640" s="78">
        <f>'Пр. 11'!M150</f>
        <v>81.8</v>
      </c>
    </row>
    <row r="641" spans="1:12" s="4" customFormat="1" ht="38.25" customHeight="1">
      <c r="A641" s="119" t="s">
        <v>1216</v>
      </c>
      <c r="B641" s="111" t="s">
        <v>350</v>
      </c>
      <c r="C641" s="111" t="s">
        <v>137</v>
      </c>
      <c r="D641" s="111" t="s">
        <v>166</v>
      </c>
      <c r="E641" s="111" t="s">
        <v>1217</v>
      </c>
      <c r="F641" s="111"/>
      <c r="G641" s="112"/>
      <c r="H641" s="78">
        <f>H642</f>
        <v>0</v>
      </c>
      <c r="I641" s="78">
        <f>I642</f>
        <v>99</v>
      </c>
      <c r="J641" s="113">
        <f t="shared" si="48"/>
        <v>99</v>
      </c>
      <c r="K641" s="78">
        <f>K642</f>
        <v>0</v>
      </c>
      <c r="L641" s="78">
        <f>L642</f>
        <v>0</v>
      </c>
    </row>
    <row r="642" spans="1:12" s="4" customFormat="1" ht="38.25" customHeight="1">
      <c r="A642" s="114" t="s">
        <v>758</v>
      </c>
      <c r="B642" s="111" t="s">
        <v>350</v>
      </c>
      <c r="C642" s="111" t="s">
        <v>137</v>
      </c>
      <c r="D642" s="111" t="s">
        <v>166</v>
      </c>
      <c r="E642" s="111" t="s">
        <v>1217</v>
      </c>
      <c r="F642" s="111" t="s">
        <v>757</v>
      </c>
      <c r="G642" s="112"/>
      <c r="H642" s="78">
        <f>H643</f>
        <v>0</v>
      </c>
      <c r="I642" s="78">
        <f>I643</f>
        <v>99</v>
      </c>
      <c r="J642" s="113">
        <f t="shared" si="48"/>
        <v>99</v>
      </c>
      <c r="K642" s="78">
        <f>K643</f>
        <v>0</v>
      </c>
      <c r="L642" s="78">
        <f>L643</f>
        <v>0</v>
      </c>
    </row>
    <row r="643" spans="1:12" s="4" customFormat="1" ht="38.25" customHeight="1">
      <c r="A643" s="119" t="s">
        <v>364</v>
      </c>
      <c r="B643" s="111" t="s">
        <v>350</v>
      </c>
      <c r="C643" s="111" t="s">
        <v>137</v>
      </c>
      <c r="D643" s="111" t="s">
        <v>166</v>
      </c>
      <c r="E643" s="111" t="s">
        <v>1217</v>
      </c>
      <c r="F643" s="111" t="s">
        <v>757</v>
      </c>
      <c r="G643" s="112" t="s">
        <v>61</v>
      </c>
      <c r="H643" s="78">
        <f>'Пр. 11'!I152</f>
        <v>0</v>
      </c>
      <c r="I643" s="78">
        <f>'Пр. 11'!J152</f>
        <v>99</v>
      </c>
      <c r="J643" s="113">
        <f t="shared" si="48"/>
        <v>99</v>
      </c>
      <c r="K643" s="78">
        <f>'Пр. 11'!L152</f>
        <v>0</v>
      </c>
      <c r="L643" s="78">
        <f>'Пр. 11'!M152</f>
        <v>0</v>
      </c>
    </row>
    <row r="644" spans="1:12" s="5" customFormat="1" ht="38.25" customHeight="1">
      <c r="A644" s="128" t="s">
        <v>369</v>
      </c>
      <c r="B644" s="71" t="s">
        <v>350</v>
      </c>
      <c r="C644" s="71" t="s">
        <v>137</v>
      </c>
      <c r="D644" s="71" t="s">
        <v>180</v>
      </c>
      <c r="E644" s="71" t="s">
        <v>156</v>
      </c>
      <c r="F644" s="71"/>
      <c r="G644" s="107"/>
      <c r="H644" s="37">
        <f>H645+H648+H651+H654</f>
        <v>284.7</v>
      </c>
      <c r="I644" s="37">
        <f>I645+I648+I651+I654</f>
        <v>214.5</v>
      </c>
      <c r="J644" s="113">
        <f t="shared" si="48"/>
        <v>-70.19999999999999</v>
      </c>
      <c r="K644" s="37">
        <f>K645+K648+K651+K654</f>
        <v>300</v>
      </c>
      <c r="L644" s="37">
        <f>L645+L648+L651+L654</f>
        <v>312.70000000000005</v>
      </c>
    </row>
    <row r="645" spans="1:12" s="5" customFormat="1" ht="39" customHeight="1">
      <c r="A645" s="119" t="s">
        <v>370</v>
      </c>
      <c r="B645" s="111" t="s">
        <v>350</v>
      </c>
      <c r="C645" s="111" t="s">
        <v>137</v>
      </c>
      <c r="D645" s="111" t="s">
        <v>180</v>
      </c>
      <c r="E645" s="111" t="s">
        <v>371</v>
      </c>
      <c r="F645" s="111"/>
      <c r="G645" s="112"/>
      <c r="H645" s="78">
        <f>H646</f>
        <v>20.7</v>
      </c>
      <c r="I645" s="78">
        <f>I646</f>
        <v>0</v>
      </c>
      <c r="J645" s="113">
        <f t="shared" si="48"/>
        <v>-20.7</v>
      </c>
      <c r="K645" s="78">
        <f>K646</f>
        <v>21.2</v>
      </c>
      <c r="L645" s="78">
        <f>L646</f>
        <v>21.2</v>
      </c>
    </row>
    <row r="646" spans="1:12" s="4" customFormat="1" ht="36" customHeight="1">
      <c r="A646" s="114" t="s">
        <v>758</v>
      </c>
      <c r="B646" s="111" t="s">
        <v>350</v>
      </c>
      <c r="C646" s="111" t="s">
        <v>137</v>
      </c>
      <c r="D646" s="111" t="s">
        <v>180</v>
      </c>
      <c r="E646" s="111" t="s">
        <v>371</v>
      </c>
      <c r="F646" s="111" t="s">
        <v>757</v>
      </c>
      <c r="G646" s="112"/>
      <c r="H646" s="78">
        <f>H647</f>
        <v>20.7</v>
      </c>
      <c r="I646" s="78">
        <f>I647</f>
        <v>0</v>
      </c>
      <c r="J646" s="113">
        <f t="shared" si="48"/>
        <v>-20.7</v>
      </c>
      <c r="K646" s="78">
        <f>K647</f>
        <v>21.2</v>
      </c>
      <c r="L646" s="78">
        <f>L647</f>
        <v>21.2</v>
      </c>
    </row>
    <row r="647" spans="1:12" s="4" customFormat="1" ht="36.75" customHeight="1">
      <c r="A647" s="119" t="s">
        <v>364</v>
      </c>
      <c r="B647" s="111" t="s">
        <v>350</v>
      </c>
      <c r="C647" s="111" t="s">
        <v>137</v>
      </c>
      <c r="D647" s="111" t="s">
        <v>180</v>
      </c>
      <c r="E647" s="111" t="s">
        <v>371</v>
      </c>
      <c r="F647" s="111" t="s">
        <v>757</v>
      </c>
      <c r="G647" s="112" t="s">
        <v>61</v>
      </c>
      <c r="H647" s="78">
        <f>'Пр. 11'!I155</f>
        <v>20.7</v>
      </c>
      <c r="I647" s="78">
        <f>'Пр. 11'!J155</f>
        <v>0</v>
      </c>
      <c r="J647" s="113">
        <f t="shared" si="48"/>
        <v>-20.7</v>
      </c>
      <c r="K647" s="78">
        <f>'Пр. 11'!L155</f>
        <v>21.2</v>
      </c>
      <c r="L647" s="78">
        <f>'Пр. 11'!M155</f>
        <v>21.2</v>
      </c>
    </row>
    <row r="648" spans="1:12" s="4" customFormat="1" ht="45.75" customHeight="1">
      <c r="A648" s="119" t="s">
        <v>1090</v>
      </c>
      <c r="B648" s="111" t="s">
        <v>350</v>
      </c>
      <c r="C648" s="111" t="s">
        <v>137</v>
      </c>
      <c r="D648" s="111" t="s">
        <v>180</v>
      </c>
      <c r="E648" s="111" t="s">
        <v>372</v>
      </c>
      <c r="F648" s="111"/>
      <c r="G648" s="112"/>
      <c r="H648" s="78">
        <f>H649</f>
        <v>15.6</v>
      </c>
      <c r="I648" s="78">
        <f>I649</f>
        <v>15.6</v>
      </c>
      <c r="J648" s="113">
        <f t="shared" si="48"/>
        <v>0</v>
      </c>
      <c r="K648" s="78">
        <f>K649</f>
        <v>16</v>
      </c>
      <c r="L648" s="78">
        <f>L649</f>
        <v>16</v>
      </c>
    </row>
    <row r="649" spans="1:12" s="4" customFormat="1" ht="36" customHeight="1">
      <c r="A649" s="114" t="s">
        <v>758</v>
      </c>
      <c r="B649" s="111" t="s">
        <v>350</v>
      </c>
      <c r="C649" s="111" t="s">
        <v>137</v>
      </c>
      <c r="D649" s="111" t="s">
        <v>180</v>
      </c>
      <c r="E649" s="111" t="s">
        <v>372</v>
      </c>
      <c r="F649" s="111" t="s">
        <v>757</v>
      </c>
      <c r="G649" s="112"/>
      <c r="H649" s="78">
        <f>H650</f>
        <v>15.6</v>
      </c>
      <c r="I649" s="78">
        <f>I650</f>
        <v>15.6</v>
      </c>
      <c r="J649" s="113">
        <f t="shared" si="48"/>
        <v>0</v>
      </c>
      <c r="K649" s="78">
        <f>K650</f>
        <v>16</v>
      </c>
      <c r="L649" s="78">
        <f>L650</f>
        <v>16</v>
      </c>
    </row>
    <row r="650" spans="1:12" s="4" customFormat="1" ht="40.5" customHeight="1">
      <c r="A650" s="119" t="s">
        <v>364</v>
      </c>
      <c r="B650" s="111" t="s">
        <v>350</v>
      </c>
      <c r="C650" s="111" t="s">
        <v>137</v>
      </c>
      <c r="D650" s="111" t="s">
        <v>180</v>
      </c>
      <c r="E650" s="111" t="s">
        <v>372</v>
      </c>
      <c r="F650" s="111" t="s">
        <v>757</v>
      </c>
      <c r="G650" s="112" t="s">
        <v>61</v>
      </c>
      <c r="H650" s="78">
        <f>'Пр. 11'!I157</f>
        <v>15.6</v>
      </c>
      <c r="I650" s="78">
        <f>'Пр. 11'!J157</f>
        <v>15.6</v>
      </c>
      <c r="J650" s="113">
        <f t="shared" si="48"/>
        <v>0</v>
      </c>
      <c r="K650" s="78">
        <f>'Пр. 11'!L157</f>
        <v>16</v>
      </c>
      <c r="L650" s="78">
        <f>'Пр. 11'!M157</f>
        <v>16</v>
      </c>
    </row>
    <row r="651" spans="1:12" s="4" customFormat="1" ht="22.5" customHeight="1">
      <c r="A651" s="119" t="s">
        <v>373</v>
      </c>
      <c r="B651" s="111" t="s">
        <v>350</v>
      </c>
      <c r="C651" s="111" t="s">
        <v>137</v>
      </c>
      <c r="D651" s="111" t="s">
        <v>180</v>
      </c>
      <c r="E651" s="111" t="s">
        <v>374</v>
      </c>
      <c r="F651" s="111"/>
      <c r="G651" s="112"/>
      <c r="H651" s="78">
        <f>H652</f>
        <v>49.5</v>
      </c>
      <c r="I651" s="78">
        <f>I652</f>
        <v>0</v>
      </c>
      <c r="J651" s="113">
        <f t="shared" si="48"/>
        <v>-49.5</v>
      </c>
      <c r="K651" s="78">
        <f>K652</f>
        <v>50.6</v>
      </c>
      <c r="L651" s="78">
        <f>L652</f>
        <v>50.6</v>
      </c>
    </row>
    <row r="652" spans="1:12" s="4" customFormat="1" ht="38.25" customHeight="1">
      <c r="A652" s="114" t="s">
        <v>758</v>
      </c>
      <c r="B652" s="111" t="s">
        <v>350</v>
      </c>
      <c r="C652" s="111" t="s">
        <v>137</v>
      </c>
      <c r="D652" s="111" t="s">
        <v>180</v>
      </c>
      <c r="E652" s="111" t="s">
        <v>374</v>
      </c>
      <c r="F652" s="111" t="s">
        <v>757</v>
      </c>
      <c r="G652" s="112"/>
      <c r="H652" s="78">
        <f>H653</f>
        <v>49.5</v>
      </c>
      <c r="I652" s="78">
        <f>I653</f>
        <v>0</v>
      </c>
      <c r="J652" s="113">
        <f t="shared" si="48"/>
        <v>-49.5</v>
      </c>
      <c r="K652" s="78">
        <f>K653</f>
        <v>50.6</v>
      </c>
      <c r="L652" s="78">
        <f>L653</f>
        <v>50.6</v>
      </c>
    </row>
    <row r="653" spans="1:12" s="4" customFormat="1" ht="42" customHeight="1">
      <c r="A653" s="119" t="s">
        <v>364</v>
      </c>
      <c r="B653" s="111" t="s">
        <v>350</v>
      </c>
      <c r="C653" s="111" t="s">
        <v>137</v>
      </c>
      <c r="D653" s="111" t="s">
        <v>180</v>
      </c>
      <c r="E653" s="111" t="s">
        <v>374</v>
      </c>
      <c r="F653" s="111" t="s">
        <v>757</v>
      </c>
      <c r="G653" s="112" t="s">
        <v>61</v>
      </c>
      <c r="H653" s="78">
        <f>'Пр. 11'!I159</f>
        <v>49.5</v>
      </c>
      <c r="I653" s="78">
        <f>'Пр. 11'!J159</f>
        <v>0</v>
      </c>
      <c r="J653" s="113">
        <f t="shared" si="48"/>
        <v>-49.5</v>
      </c>
      <c r="K653" s="78">
        <f>'Пр. 11'!L159</f>
        <v>50.6</v>
      </c>
      <c r="L653" s="78">
        <f>'Пр. 11'!M159</f>
        <v>50.6</v>
      </c>
    </row>
    <row r="654" spans="1:12" s="4" customFormat="1" ht="35.25" customHeight="1">
      <c r="A654" s="119" t="s">
        <v>375</v>
      </c>
      <c r="B654" s="111" t="s">
        <v>350</v>
      </c>
      <c r="C654" s="111" t="s">
        <v>137</v>
      </c>
      <c r="D654" s="111" t="s">
        <v>180</v>
      </c>
      <c r="E654" s="111" t="s">
        <v>376</v>
      </c>
      <c r="F654" s="111"/>
      <c r="G654" s="112"/>
      <c r="H654" s="78">
        <f>H655</f>
        <v>198.9</v>
      </c>
      <c r="I654" s="78">
        <f>I655</f>
        <v>198.9</v>
      </c>
      <c r="J654" s="113">
        <f t="shared" si="48"/>
        <v>0</v>
      </c>
      <c r="K654" s="78">
        <f>K655</f>
        <v>212.2</v>
      </c>
      <c r="L654" s="78">
        <f>L655</f>
        <v>224.9</v>
      </c>
    </row>
    <row r="655" spans="1:12" s="4" customFormat="1" ht="23.25" customHeight="1">
      <c r="A655" s="119" t="s">
        <v>765</v>
      </c>
      <c r="B655" s="111" t="s">
        <v>350</v>
      </c>
      <c r="C655" s="111" t="s">
        <v>137</v>
      </c>
      <c r="D655" s="111" t="s">
        <v>180</v>
      </c>
      <c r="E655" s="111" t="s">
        <v>376</v>
      </c>
      <c r="F655" s="111" t="s">
        <v>766</v>
      </c>
      <c r="G655" s="112"/>
      <c r="H655" s="78">
        <f>H656</f>
        <v>198.9</v>
      </c>
      <c r="I655" s="78">
        <f>I656</f>
        <v>198.9</v>
      </c>
      <c r="J655" s="113">
        <f t="shared" si="48"/>
        <v>0</v>
      </c>
      <c r="K655" s="78">
        <f>K656</f>
        <v>212.2</v>
      </c>
      <c r="L655" s="78">
        <f>L656</f>
        <v>224.9</v>
      </c>
    </row>
    <row r="656" spans="1:12" s="4" customFormat="1" ht="36" customHeight="1">
      <c r="A656" s="119" t="s">
        <v>364</v>
      </c>
      <c r="B656" s="111" t="s">
        <v>350</v>
      </c>
      <c r="C656" s="111" t="s">
        <v>137</v>
      </c>
      <c r="D656" s="111" t="s">
        <v>180</v>
      </c>
      <c r="E656" s="111" t="s">
        <v>376</v>
      </c>
      <c r="F656" s="111" t="s">
        <v>766</v>
      </c>
      <c r="G656" s="112" t="s">
        <v>61</v>
      </c>
      <c r="H656" s="78">
        <f>'Пр. 11'!I547</f>
        <v>198.9</v>
      </c>
      <c r="I656" s="78">
        <f>'Пр. 11'!J547</f>
        <v>198.9</v>
      </c>
      <c r="J656" s="113">
        <f t="shared" si="48"/>
        <v>0</v>
      </c>
      <c r="K656" s="78">
        <f>'Пр. 11'!L547</f>
        <v>212.2</v>
      </c>
      <c r="L656" s="78">
        <f>'Пр. 11'!M547</f>
        <v>224.9</v>
      </c>
    </row>
    <row r="657" spans="1:12" s="5" customFormat="1" ht="25.5" customHeight="1">
      <c r="A657" s="109" t="s">
        <v>377</v>
      </c>
      <c r="B657" s="71" t="s">
        <v>350</v>
      </c>
      <c r="C657" s="71" t="s">
        <v>137</v>
      </c>
      <c r="D657" s="71" t="s">
        <v>193</v>
      </c>
      <c r="E657" s="71" t="s">
        <v>156</v>
      </c>
      <c r="F657" s="71"/>
      <c r="G657" s="107"/>
      <c r="H657" s="37">
        <f aca="true" t="shared" si="49" ref="H657:I659">H658</f>
        <v>199</v>
      </c>
      <c r="I657" s="37">
        <f t="shared" si="49"/>
        <v>199</v>
      </c>
      <c r="J657" s="108">
        <f t="shared" si="48"/>
        <v>0</v>
      </c>
      <c r="K657" s="37">
        <f aca="true" t="shared" si="50" ref="K657:L659">K658</f>
        <v>212.5</v>
      </c>
      <c r="L657" s="37">
        <f t="shared" si="50"/>
        <v>225.3</v>
      </c>
    </row>
    <row r="658" spans="1:12" s="4" customFormat="1" ht="36.75" customHeight="1">
      <c r="A658" s="119" t="s">
        <v>147</v>
      </c>
      <c r="B658" s="111" t="s">
        <v>350</v>
      </c>
      <c r="C658" s="111" t="s">
        <v>137</v>
      </c>
      <c r="D658" s="111" t="s">
        <v>193</v>
      </c>
      <c r="E658" s="111" t="s">
        <v>378</v>
      </c>
      <c r="F658" s="111"/>
      <c r="G658" s="112"/>
      <c r="H658" s="78">
        <f t="shared" si="49"/>
        <v>199</v>
      </c>
      <c r="I658" s="78">
        <f t="shared" si="49"/>
        <v>199</v>
      </c>
      <c r="J658" s="113">
        <f t="shared" si="48"/>
        <v>0</v>
      </c>
      <c r="K658" s="78">
        <f t="shared" si="50"/>
        <v>212.5</v>
      </c>
      <c r="L658" s="78">
        <f t="shared" si="50"/>
        <v>225.3</v>
      </c>
    </row>
    <row r="659" spans="1:12" s="4" customFormat="1" ht="21.75" customHeight="1">
      <c r="A659" s="22" t="s">
        <v>765</v>
      </c>
      <c r="B659" s="111" t="s">
        <v>350</v>
      </c>
      <c r="C659" s="111" t="s">
        <v>137</v>
      </c>
      <c r="D659" s="111" t="s">
        <v>193</v>
      </c>
      <c r="E659" s="111" t="s">
        <v>378</v>
      </c>
      <c r="F659" s="111" t="s">
        <v>766</v>
      </c>
      <c r="G659" s="112"/>
      <c r="H659" s="78">
        <f t="shared" si="49"/>
        <v>199</v>
      </c>
      <c r="I659" s="78">
        <f t="shared" si="49"/>
        <v>199</v>
      </c>
      <c r="J659" s="113">
        <f t="shared" si="48"/>
        <v>0</v>
      </c>
      <c r="K659" s="78">
        <f t="shared" si="50"/>
        <v>212.5</v>
      </c>
      <c r="L659" s="78">
        <f t="shared" si="50"/>
        <v>225.3</v>
      </c>
    </row>
    <row r="660" spans="1:12" s="4" customFormat="1" ht="40.5" customHeight="1">
      <c r="A660" s="119" t="s">
        <v>364</v>
      </c>
      <c r="B660" s="111" t="s">
        <v>350</v>
      </c>
      <c r="C660" s="111" t="s">
        <v>137</v>
      </c>
      <c r="D660" s="111" t="s">
        <v>193</v>
      </c>
      <c r="E660" s="111" t="s">
        <v>378</v>
      </c>
      <c r="F660" s="111" t="s">
        <v>766</v>
      </c>
      <c r="G660" s="112" t="s">
        <v>61</v>
      </c>
      <c r="H660" s="78">
        <f>'Пр. 11'!I550</f>
        <v>199</v>
      </c>
      <c r="I660" s="78">
        <f>'Пр. 11'!J550</f>
        <v>199</v>
      </c>
      <c r="J660" s="113">
        <f t="shared" si="48"/>
        <v>0</v>
      </c>
      <c r="K660" s="78">
        <f>'Пр. 11'!L550</f>
        <v>212.5</v>
      </c>
      <c r="L660" s="78">
        <f>'Пр. 11'!M550</f>
        <v>225.3</v>
      </c>
    </row>
    <row r="661" spans="1:12" s="5" customFormat="1" ht="54" customHeight="1">
      <c r="A661" s="122" t="s">
        <v>918</v>
      </c>
      <c r="B661" s="71" t="s">
        <v>354</v>
      </c>
      <c r="C661" s="71" t="s">
        <v>154</v>
      </c>
      <c r="D661" s="71" t="s">
        <v>155</v>
      </c>
      <c r="E661" s="71" t="s">
        <v>156</v>
      </c>
      <c r="F661" s="71"/>
      <c r="G661" s="107"/>
      <c r="H661" s="37">
        <f>H662+H680+H685+H693</f>
        <v>5619.1</v>
      </c>
      <c r="I661" s="37">
        <f>I662+I680+I685+I693</f>
        <v>5619.1</v>
      </c>
      <c r="J661" s="108">
        <f t="shared" si="48"/>
        <v>0</v>
      </c>
      <c r="K661" s="37">
        <f>K662+K680+K685+K693</f>
        <v>6008.799999999999</v>
      </c>
      <c r="L661" s="37">
        <f>L662+L680+L685+L693</f>
        <v>6223.099999999999</v>
      </c>
    </row>
    <row r="662" spans="1:12" s="5" customFormat="1" ht="23.25" customHeight="1">
      <c r="A662" s="109" t="s">
        <v>388</v>
      </c>
      <c r="B662" s="71" t="s">
        <v>354</v>
      </c>
      <c r="C662" s="71" t="s">
        <v>136</v>
      </c>
      <c r="D662" s="71" t="s">
        <v>155</v>
      </c>
      <c r="E662" s="71" t="s">
        <v>156</v>
      </c>
      <c r="F662" s="71"/>
      <c r="G662" s="107"/>
      <c r="H662" s="37">
        <f>H663+H676</f>
        <v>3750</v>
      </c>
      <c r="I662" s="37">
        <f>I663+I676</f>
        <v>3750</v>
      </c>
      <c r="J662" s="108">
        <f t="shared" si="48"/>
        <v>0</v>
      </c>
      <c r="K662" s="37">
        <f>K663+K676</f>
        <v>4117.5</v>
      </c>
      <c r="L662" s="37">
        <f>L663+L676</f>
        <v>4205.2</v>
      </c>
    </row>
    <row r="663" spans="1:12" s="5" customFormat="1" ht="46.5" customHeight="1">
      <c r="A663" s="128" t="s">
        <v>389</v>
      </c>
      <c r="B663" s="71" t="s">
        <v>354</v>
      </c>
      <c r="C663" s="71" t="s">
        <v>136</v>
      </c>
      <c r="D663" s="71" t="s">
        <v>153</v>
      </c>
      <c r="E663" s="71" t="s">
        <v>156</v>
      </c>
      <c r="F663" s="71"/>
      <c r="G663" s="107"/>
      <c r="H663" s="37">
        <f>H664+H667+H670+H673</f>
        <v>3614</v>
      </c>
      <c r="I663" s="37">
        <f>I664+I667+I670+I673</f>
        <v>3614</v>
      </c>
      <c r="J663" s="113">
        <f t="shared" si="48"/>
        <v>0</v>
      </c>
      <c r="K663" s="37">
        <f>K664+K667+K670+K673</f>
        <v>3981.5</v>
      </c>
      <c r="L663" s="37">
        <f>L664+L667+L670+L673</f>
        <v>4069.2</v>
      </c>
    </row>
    <row r="664" spans="1:12" s="5" customFormat="1" ht="81" customHeight="1">
      <c r="A664" s="119" t="s">
        <v>390</v>
      </c>
      <c r="B664" s="111" t="s">
        <v>354</v>
      </c>
      <c r="C664" s="111" t="s">
        <v>136</v>
      </c>
      <c r="D664" s="111" t="s">
        <v>153</v>
      </c>
      <c r="E664" s="111" t="s">
        <v>391</v>
      </c>
      <c r="F664" s="111"/>
      <c r="G664" s="112"/>
      <c r="H664" s="78">
        <f>H665</f>
        <v>2839.1</v>
      </c>
      <c r="I664" s="78">
        <f>I665</f>
        <v>2839.1</v>
      </c>
      <c r="J664" s="113">
        <f t="shared" si="48"/>
        <v>0</v>
      </c>
      <c r="K664" s="78">
        <f>K665</f>
        <v>3191.7</v>
      </c>
      <c r="L664" s="78">
        <f>L665</f>
        <v>3238.7</v>
      </c>
    </row>
    <row r="665" spans="1:12" s="5" customFormat="1" ht="36.75" customHeight="1">
      <c r="A665" s="114" t="s">
        <v>758</v>
      </c>
      <c r="B665" s="111" t="s">
        <v>354</v>
      </c>
      <c r="C665" s="111" t="s">
        <v>136</v>
      </c>
      <c r="D665" s="111" t="s">
        <v>153</v>
      </c>
      <c r="E665" s="111" t="s">
        <v>391</v>
      </c>
      <c r="F665" s="111" t="s">
        <v>757</v>
      </c>
      <c r="G665" s="112"/>
      <c r="H665" s="78">
        <f>H666</f>
        <v>2839.1</v>
      </c>
      <c r="I665" s="78">
        <f>I666</f>
        <v>2839.1</v>
      </c>
      <c r="J665" s="113">
        <f t="shared" si="48"/>
        <v>0</v>
      </c>
      <c r="K665" s="78">
        <f>K666</f>
        <v>3191.7</v>
      </c>
      <c r="L665" s="78">
        <f>L666</f>
        <v>3238.7</v>
      </c>
    </row>
    <row r="666" spans="1:12" s="4" customFormat="1" ht="21" customHeight="1">
      <c r="A666" s="114" t="s">
        <v>56</v>
      </c>
      <c r="B666" s="111" t="s">
        <v>354</v>
      </c>
      <c r="C666" s="111" t="s">
        <v>136</v>
      </c>
      <c r="D666" s="111" t="s">
        <v>153</v>
      </c>
      <c r="E666" s="111" t="s">
        <v>391</v>
      </c>
      <c r="F666" s="111" t="s">
        <v>757</v>
      </c>
      <c r="G666" s="112" t="s">
        <v>57</v>
      </c>
      <c r="H666" s="78">
        <f>'Пр. 11'!I90+'Пр. 11'!I809+'Пр. 11'!I831</f>
        <v>2839.1</v>
      </c>
      <c r="I666" s="78">
        <f>'Пр. 11'!J90+'Пр. 11'!J809+'Пр. 11'!J831</f>
        <v>2839.1</v>
      </c>
      <c r="J666" s="113">
        <f t="shared" si="48"/>
        <v>0</v>
      </c>
      <c r="K666" s="78">
        <f>'Пр. 11'!L90+'Пр. 11'!L809+'Пр. 11'!L831</f>
        <v>3191.7</v>
      </c>
      <c r="L666" s="78">
        <f>'Пр. 11'!M90+'Пр. 11'!M809+'Пр. 11'!M831</f>
        <v>3238.7</v>
      </c>
    </row>
    <row r="667" spans="1:12" s="5" customFormat="1" ht="47.25" customHeight="1">
      <c r="A667" s="119" t="s">
        <v>392</v>
      </c>
      <c r="B667" s="111" t="s">
        <v>354</v>
      </c>
      <c r="C667" s="111" t="s">
        <v>136</v>
      </c>
      <c r="D667" s="111" t="s">
        <v>153</v>
      </c>
      <c r="E667" s="111" t="s">
        <v>393</v>
      </c>
      <c r="F667" s="111"/>
      <c r="G667" s="112"/>
      <c r="H667" s="78">
        <f>H668</f>
        <v>124</v>
      </c>
      <c r="I667" s="78">
        <f>I668</f>
        <v>124</v>
      </c>
      <c r="J667" s="113">
        <f t="shared" si="48"/>
        <v>0</v>
      </c>
      <c r="K667" s="78">
        <f>K668</f>
        <v>124</v>
      </c>
      <c r="L667" s="78">
        <f>L668</f>
        <v>124</v>
      </c>
    </row>
    <row r="668" spans="1:12" s="4" customFormat="1" ht="32.25" customHeight="1">
      <c r="A668" s="114" t="s">
        <v>758</v>
      </c>
      <c r="B668" s="111" t="s">
        <v>354</v>
      </c>
      <c r="C668" s="111" t="s">
        <v>136</v>
      </c>
      <c r="D668" s="111" t="s">
        <v>153</v>
      </c>
      <c r="E668" s="111" t="s">
        <v>393</v>
      </c>
      <c r="F668" s="111" t="s">
        <v>757</v>
      </c>
      <c r="G668" s="112"/>
      <c r="H668" s="78">
        <f>H669</f>
        <v>124</v>
      </c>
      <c r="I668" s="78">
        <f>I669</f>
        <v>124</v>
      </c>
      <c r="J668" s="113">
        <f t="shared" si="48"/>
        <v>0</v>
      </c>
      <c r="K668" s="78">
        <f>K669</f>
        <v>124</v>
      </c>
      <c r="L668" s="78">
        <f>L669</f>
        <v>124</v>
      </c>
    </row>
    <row r="669" spans="1:12" s="4" customFormat="1" ht="21.75" customHeight="1">
      <c r="A669" s="114" t="s">
        <v>56</v>
      </c>
      <c r="B669" s="111" t="s">
        <v>354</v>
      </c>
      <c r="C669" s="111" t="s">
        <v>136</v>
      </c>
      <c r="D669" s="111" t="s">
        <v>153</v>
      </c>
      <c r="E669" s="111" t="s">
        <v>393</v>
      </c>
      <c r="F669" s="111" t="s">
        <v>757</v>
      </c>
      <c r="G669" s="112" t="s">
        <v>57</v>
      </c>
      <c r="H669" s="78">
        <f>'Пр. 11'!I92</f>
        <v>124</v>
      </c>
      <c r="I669" s="78">
        <f>'Пр. 11'!J92</f>
        <v>124</v>
      </c>
      <c r="J669" s="113">
        <f t="shared" si="48"/>
        <v>0</v>
      </c>
      <c r="K669" s="78">
        <f>'Пр. 11'!L92</f>
        <v>124</v>
      </c>
      <c r="L669" s="78">
        <f>'Пр. 11'!M92</f>
        <v>124</v>
      </c>
    </row>
    <row r="670" spans="1:12" s="4" customFormat="1" ht="54" customHeight="1">
      <c r="A670" s="119" t="s">
        <v>962</v>
      </c>
      <c r="B670" s="111" t="s">
        <v>354</v>
      </c>
      <c r="C670" s="111" t="s">
        <v>136</v>
      </c>
      <c r="D670" s="111" t="s">
        <v>153</v>
      </c>
      <c r="E670" s="111" t="s">
        <v>394</v>
      </c>
      <c r="F670" s="111"/>
      <c r="G670" s="112"/>
      <c r="H670" s="78">
        <f>H671</f>
        <v>6.5</v>
      </c>
      <c r="I670" s="78">
        <f>I671</f>
        <v>6.5</v>
      </c>
      <c r="J670" s="113">
        <f aca="true" t="shared" si="51" ref="J670:J684">I670-H670</f>
        <v>0</v>
      </c>
      <c r="K670" s="78">
        <f>K671</f>
        <v>6.5</v>
      </c>
      <c r="L670" s="78">
        <f>L671</f>
        <v>6.5</v>
      </c>
    </row>
    <row r="671" spans="1:12" s="4" customFormat="1" ht="38.25" customHeight="1">
      <c r="A671" s="114" t="s">
        <v>758</v>
      </c>
      <c r="B671" s="111" t="s">
        <v>354</v>
      </c>
      <c r="C671" s="111" t="s">
        <v>136</v>
      </c>
      <c r="D671" s="111" t="s">
        <v>153</v>
      </c>
      <c r="E671" s="111" t="s">
        <v>394</v>
      </c>
      <c r="F671" s="111" t="s">
        <v>757</v>
      </c>
      <c r="G671" s="112"/>
      <c r="H671" s="78">
        <f>H672</f>
        <v>6.5</v>
      </c>
      <c r="I671" s="78">
        <f>I672</f>
        <v>6.5</v>
      </c>
      <c r="J671" s="113">
        <f t="shared" si="51"/>
        <v>0</v>
      </c>
      <c r="K671" s="78">
        <f>K672</f>
        <v>6.5</v>
      </c>
      <c r="L671" s="78">
        <f>L672</f>
        <v>6.5</v>
      </c>
    </row>
    <row r="672" spans="1:12" s="4" customFormat="1" ht="20.25" customHeight="1">
      <c r="A672" s="114" t="s">
        <v>56</v>
      </c>
      <c r="B672" s="111" t="s">
        <v>354</v>
      </c>
      <c r="C672" s="111" t="s">
        <v>136</v>
      </c>
      <c r="D672" s="111" t="s">
        <v>153</v>
      </c>
      <c r="E672" s="111" t="s">
        <v>394</v>
      </c>
      <c r="F672" s="111" t="s">
        <v>757</v>
      </c>
      <c r="G672" s="112" t="s">
        <v>57</v>
      </c>
      <c r="H672" s="78">
        <f>'Пр. 11'!I94</f>
        <v>6.5</v>
      </c>
      <c r="I672" s="78">
        <f>'Пр. 11'!J94</f>
        <v>6.5</v>
      </c>
      <c r="J672" s="113">
        <f t="shared" si="51"/>
        <v>0</v>
      </c>
      <c r="K672" s="78">
        <f>'Пр. 11'!L94</f>
        <v>6.5</v>
      </c>
      <c r="L672" s="78">
        <f>'Пр. 11'!M94</f>
        <v>6.5</v>
      </c>
    </row>
    <row r="673" spans="1:12" s="4" customFormat="1" ht="41.25" customHeight="1">
      <c r="A673" s="119" t="s">
        <v>395</v>
      </c>
      <c r="B673" s="111" t="s">
        <v>354</v>
      </c>
      <c r="C673" s="111" t="s">
        <v>136</v>
      </c>
      <c r="D673" s="111" t="s">
        <v>153</v>
      </c>
      <c r="E673" s="111" t="s">
        <v>396</v>
      </c>
      <c r="F673" s="111"/>
      <c r="G673" s="112"/>
      <c r="H673" s="78">
        <f>H674</f>
        <v>644.4</v>
      </c>
      <c r="I673" s="78">
        <f>I674</f>
        <v>644.4</v>
      </c>
      <c r="J673" s="113">
        <f t="shared" si="51"/>
        <v>0</v>
      </c>
      <c r="K673" s="78">
        <f>K674</f>
        <v>659.3</v>
      </c>
      <c r="L673" s="78">
        <f>L674</f>
        <v>700</v>
      </c>
    </row>
    <row r="674" spans="1:12" s="4" customFormat="1" ht="36.75" customHeight="1">
      <c r="A674" s="114" t="s">
        <v>758</v>
      </c>
      <c r="B674" s="111" t="s">
        <v>354</v>
      </c>
      <c r="C674" s="111" t="s">
        <v>136</v>
      </c>
      <c r="D674" s="111" t="s">
        <v>153</v>
      </c>
      <c r="E674" s="111" t="s">
        <v>396</v>
      </c>
      <c r="F674" s="111" t="s">
        <v>757</v>
      </c>
      <c r="G674" s="112"/>
      <c r="H674" s="78">
        <f>H675</f>
        <v>644.4</v>
      </c>
      <c r="I674" s="78">
        <f>I675</f>
        <v>644.4</v>
      </c>
      <c r="J674" s="113">
        <f t="shared" si="51"/>
        <v>0</v>
      </c>
      <c r="K674" s="78">
        <f>K675</f>
        <v>659.3</v>
      </c>
      <c r="L674" s="78">
        <f>L675</f>
        <v>700</v>
      </c>
    </row>
    <row r="675" spans="1:12" s="4" customFormat="1" ht="20.25" customHeight="1">
      <c r="A675" s="114" t="s">
        <v>56</v>
      </c>
      <c r="B675" s="111" t="s">
        <v>354</v>
      </c>
      <c r="C675" s="111" t="s">
        <v>136</v>
      </c>
      <c r="D675" s="111" t="s">
        <v>153</v>
      </c>
      <c r="E675" s="111" t="s">
        <v>396</v>
      </c>
      <c r="F675" s="111" t="s">
        <v>757</v>
      </c>
      <c r="G675" s="112" t="s">
        <v>57</v>
      </c>
      <c r="H675" s="78">
        <f>'Пр. 11'!I96</f>
        <v>644.4</v>
      </c>
      <c r="I675" s="78">
        <f>'Пр. 11'!J96</f>
        <v>644.4</v>
      </c>
      <c r="J675" s="113">
        <f t="shared" si="51"/>
        <v>0</v>
      </c>
      <c r="K675" s="78">
        <f>'Пр. 11'!L96</f>
        <v>659.3</v>
      </c>
      <c r="L675" s="78">
        <f>'Пр. 11'!M96</f>
        <v>700</v>
      </c>
    </row>
    <row r="676" spans="1:12" s="5" customFormat="1" ht="49.5" customHeight="1">
      <c r="A676" s="128" t="s">
        <v>919</v>
      </c>
      <c r="B676" s="71" t="s">
        <v>354</v>
      </c>
      <c r="C676" s="71" t="s">
        <v>136</v>
      </c>
      <c r="D676" s="71" t="s">
        <v>166</v>
      </c>
      <c r="E676" s="71" t="s">
        <v>156</v>
      </c>
      <c r="F676" s="71"/>
      <c r="G676" s="107"/>
      <c r="H676" s="37">
        <f aca="true" t="shared" si="52" ref="H676:I678">H677</f>
        <v>136</v>
      </c>
      <c r="I676" s="37">
        <f t="shared" si="52"/>
        <v>136</v>
      </c>
      <c r="J676" s="108">
        <f t="shared" si="51"/>
        <v>0</v>
      </c>
      <c r="K676" s="37">
        <f aca="true" t="shared" si="53" ref="K676:L678">K677</f>
        <v>136</v>
      </c>
      <c r="L676" s="37">
        <f t="shared" si="53"/>
        <v>136</v>
      </c>
    </row>
    <row r="677" spans="1:12" s="4" customFormat="1" ht="39" customHeight="1">
      <c r="A677" s="114" t="s">
        <v>387</v>
      </c>
      <c r="B677" s="111" t="s">
        <v>354</v>
      </c>
      <c r="C677" s="111" t="s">
        <v>136</v>
      </c>
      <c r="D677" s="111" t="s">
        <v>166</v>
      </c>
      <c r="E677" s="111" t="s">
        <v>869</v>
      </c>
      <c r="F677" s="111"/>
      <c r="G677" s="112"/>
      <c r="H677" s="78">
        <f t="shared" si="52"/>
        <v>136</v>
      </c>
      <c r="I677" s="78">
        <f t="shared" si="52"/>
        <v>136</v>
      </c>
      <c r="J677" s="113">
        <f t="shared" si="51"/>
        <v>0</v>
      </c>
      <c r="K677" s="78">
        <f t="shared" si="53"/>
        <v>136</v>
      </c>
      <c r="L677" s="78">
        <f t="shared" si="53"/>
        <v>136</v>
      </c>
    </row>
    <row r="678" spans="1:12" s="5" customFormat="1" ht="32.25" customHeight="1">
      <c r="A678" s="114" t="s">
        <v>758</v>
      </c>
      <c r="B678" s="111" t="s">
        <v>354</v>
      </c>
      <c r="C678" s="111" t="s">
        <v>136</v>
      </c>
      <c r="D678" s="111" t="s">
        <v>166</v>
      </c>
      <c r="E678" s="111" t="s">
        <v>869</v>
      </c>
      <c r="F678" s="111" t="s">
        <v>757</v>
      </c>
      <c r="G678" s="112"/>
      <c r="H678" s="78">
        <f t="shared" si="52"/>
        <v>136</v>
      </c>
      <c r="I678" s="78">
        <f t="shared" si="52"/>
        <v>136</v>
      </c>
      <c r="J678" s="113">
        <f t="shared" si="51"/>
        <v>0</v>
      </c>
      <c r="K678" s="78">
        <f t="shared" si="53"/>
        <v>136</v>
      </c>
      <c r="L678" s="78">
        <f t="shared" si="53"/>
        <v>136</v>
      </c>
    </row>
    <row r="679" spans="1:12" s="5" customFormat="1" ht="21.75" customHeight="1">
      <c r="A679" s="114" t="s">
        <v>56</v>
      </c>
      <c r="B679" s="111" t="s">
        <v>354</v>
      </c>
      <c r="C679" s="111" t="s">
        <v>136</v>
      </c>
      <c r="D679" s="111" t="s">
        <v>166</v>
      </c>
      <c r="E679" s="111" t="s">
        <v>869</v>
      </c>
      <c r="F679" s="111" t="s">
        <v>757</v>
      </c>
      <c r="G679" s="112" t="s">
        <v>57</v>
      </c>
      <c r="H679" s="78">
        <f>'Пр. 11'!I99</f>
        <v>136</v>
      </c>
      <c r="I679" s="78">
        <f>'Пр. 11'!J99</f>
        <v>136</v>
      </c>
      <c r="J679" s="113">
        <f t="shared" si="51"/>
        <v>0</v>
      </c>
      <c r="K679" s="78">
        <f>'Пр. 11'!L99</f>
        <v>136</v>
      </c>
      <c r="L679" s="78">
        <f>'Пр. 11'!M99</f>
        <v>136</v>
      </c>
    </row>
    <row r="680" spans="1:12" s="4" customFormat="1" ht="45.75" customHeight="1">
      <c r="A680" s="128" t="s">
        <v>920</v>
      </c>
      <c r="B680" s="71" t="s">
        <v>354</v>
      </c>
      <c r="C680" s="71" t="s">
        <v>137</v>
      </c>
      <c r="D680" s="71" t="s">
        <v>155</v>
      </c>
      <c r="E680" s="71" t="s">
        <v>156</v>
      </c>
      <c r="F680" s="71"/>
      <c r="G680" s="107"/>
      <c r="H680" s="37">
        <f>H681</f>
        <v>51.7</v>
      </c>
      <c r="I680" s="37">
        <f>I681</f>
        <v>51.7</v>
      </c>
      <c r="J680" s="113">
        <f t="shared" si="51"/>
        <v>0</v>
      </c>
      <c r="K680" s="37">
        <f>K681</f>
        <v>51.7</v>
      </c>
      <c r="L680" s="37">
        <f>L681</f>
        <v>51.7</v>
      </c>
    </row>
    <row r="681" spans="1:12" s="5" customFormat="1" ht="36" customHeight="1">
      <c r="A681" s="128" t="s">
        <v>921</v>
      </c>
      <c r="B681" s="71" t="s">
        <v>354</v>
      </c>
      <c r="C681" s="71" t="s">
        <v>137</v>
      </c>
      <c r="D681" s="71" t="s">
        <v>153</v>
      </c>
      <c r="E681" s="71" t="s">
        <v>156</v>
      </c>
      <c r="F681" s="71"/>
      <c r="G681" s="107"/>
      <c r="H681" s="37">
        <f aca="true" t="shared" si="54" ref="H681:I683">H682</f>
        <v>51.7</v>
      </c>
      <c r="I681" s="37">
        <f t="shared" si="54"/>
        <v>51.7</v>
      </c>
      <c r="J681" s="108">
        <f t="shared" si="51"/>
        <v>0</v>
      </c>
      <c r="K681" s="37">
        <f aca="true" t="shared" si="55" ref="K681:L683">K682</f>
        <v>51.7</v>
      </c>
      <c r="L681" s="37">
        <f t="shared" si="55"/>
        <v>51.7</v>
      </c>
    </row>
    <row r="682" spans="1:12" s="4" customFormat="1" ht="41.25" customHeight="1">
      <c r="A682" s="114" t="s">
        <v>346</v>
      </c>
      <c r="B682" s="111" t="s">
        <v>354</v>
      </c>
      <c r="C682" s="111" t="s">
        <v>137</v>
      </c>
      <c r="D682" s="111" t="s">
        <v>153</v>
      </c>
      <c r="E682" s="111" t="s">
        <v>347</v>
      </c>
      <c r="F682" s="111"/>
      <c r="G682" s="112"/>
      <c r="H682" s="78">
        <f t="shared" si="54"/>
        <v>51.7</v>
      </c>
      <c r="I682" s="78">
        <f t="shared" si="54"/>
        <v>51.7</v>
      </c>
      <c r="J682" s="113">
        <f t="shared" si="51"/>
        <v>0</v>
      </c>
      <c r="K682" s="78">
        <f t="shared" si="55"/>
        <v>51.7</v>
      </c>
      <c r="L682" s="78">
        <f t="shared" si="55"/>
        <v>51.7</v>
      </c>
    </row>
    <row r="683" spans="1:12" s="4" customFormat="1" ht="34.5" customHeight="1">
      <c r="A683" s="114" t="s">
        <v>758</v>
      </c>
      <c r="B683" s="111" t="s">
        <v>354</v>
      </c>
      <c r="C683" s="111" t="s">
        <v>137</v>
      </c>
      <c r="D683" s="111" t="s">
        <v>153</v>
      </c>
      <c r="E683" s="111" t="s">
        <v>347</v>
      </c>
      <c r="F683" s="111" t="s">
        <v>757</v>
      </c>
      <c r="G683" s="112"/>
      <c r="H683" s="78">
        <f t="shared" si="54"/>
        <v>51.7</v>
      </c>
      <c r="I683" s="78">
        <f t="shared" si="54"/>
        <v>51.7</v>
      </c>
      <c r="J683" s="113">
        <f t="shared" si="51"/>
        <v>0</v>
      </c>
      <c r="K683" s="78">
        <f t="shared" si="55"/>
        <v>51.7</v>
      </c>
      <c r="L683" s="78">
        <f t="shared" si="55"/>
        <v>51.7</v>
      </c>
    </row>
    <row r="684" spans="1:12" s="4" customFormat="1" ht="21" customHeight="1">
      <c r="A684" s="114" t="s">
        <v>56</v>
      </c>
      <c r="B684" s="111" t="s">
        <v>354</v>
      </c>
      <c r="C684" s="111" t="s">
        <v>137</v>
      </c>
      <c r="D684" s="111" t="s">
        <v>153</v>
      </c>
      <c r="E684" s="111" t="s">
        <v>347</v>
      </c>
      <c r="F684" s="111" t="s">
        <v>757</v>
      </c>
      <c r="G684" s="112" t="s">
        <v>57</v>
      </c>
      <c r="H684" s="78">
        <f>'Пр. 11'!I103</f>
        <v>51.7</v>
      </c>
      <c r="I684" s="78">
        <f>'Пр. 11'!J103</f>
        <v>51.7</v>
      </c>
      <c r="J684" s="113">
        <f t="shared" si="51"/>
        <v>0</v>
      </c>
      <c r="K684" s="78">
        <f>'Пр. 11'!L103</f>
        <v>51.7</v>
      </c>
      <c r="L684" s="78">
        <f>'Пр. 11'!M103</f>
        <v>51.7</v>
      </c>
    </row>
    <row r="685" spans="1:12" s="5" customFormat="1" ht="48" customHeight="1">
      <c r="A685" s="109" t="s">
        <v>403</v>
      </c>
      <c r="B685" s="71" t="s">
        <v>354</v>
      </c>
      <c r="C685" s="71" t="s">
        <v>139</v>
      </c>
      <c r="D685" s="71" t="s">
        <v>155</v>
      </c>
      <c r="E685" s="71" t="s">
        <v>156</v>
      </c>
      <c r="F685" s="71"/>
      <c r="G685" s="107"/>
      <c r="H685" s="37">
        <f aca="true" t="shared" si="56" ref="H685:I688">H686</f>
        <v>1520.4</v>
      </c>
      <c r="I685" s="37">
        <f t="shared" si="56"/>
        <v>1520.4</v>
      </c>
      <c r="J685" s="108">
        <f aca="true" t="shared" si="57" ref="J685:J698">I685-H685</f>
        <v>0</v>
      </c>
      <c r="K685" s="37">
        <f aca="true" t="shared" si="58" ref="K685:L688">K686</f>
        <v>1535.6</v>
      </c>
      <c r="L685" s="37">
        <f t="shared" si="58"/>
        <v>1661.2</v>
      </c>
    </row>
    <row r="686" spans="1:12" s="5" customFormat="1" ht="62.25" customHeight="1">
      <c r="A686" s="128" t="s">
        <v>922</v>
      </c>
      <c r="B686" s="71" t="s">
        <v>354</v>
      </c>
      <c r="C686" s="71" t="s">
        <v>139</v>
      </c>
      <c r="D686" s="71" t="s">
        <v>153</v>
      </c>
      <c r="E686" s="71" t="s">
        <v>156</v>
      </c>
      <c r="F686" s="71"/>
      <c r="G686" s="107"/>
      <c r="H686" s="37">
        <f>H687+H690</f>
        <v>1520.4</v>
      </c>
      <c r="I686" s="37">
        <f>I687+I690</f>
        <v>1520.4</v>
      </c>
      <c r="J686" s="108">
        <f t="shared" si="57"/>
        <v>0</v>
      </c>
      <c r="K686" s="37">
        <f>K687+K690</f>
        <v>1535.6</v>
      </c>
      <c r="L686" s="37">
        <f>L687+L690</f>
        <v>1661.2</v>
      </c>
    </row>
    <row r="687" spans="1:12" s="5" customFormat="1" ht="34.5" customHeight="1">
      <c r="A687" s="119" t="s">
        <v>778</v>
      </c>
      <c r="B687" s="111" t="s">
        <v>354</v>
      </c>
      <c r="C687" s="111" t="s">
        <v>139</v>
      </c>
      <c r="D687" s="111" t="s">
        <v>153</v>
      </c>
      <c r="E687" s="111" t="s">
        <v>404</v>
      </c>
      <c r="F687" s="111"/>
      <c r="G687" s="112"/>
      <c r="H687" s="78">
        <f t="shared" si="56"/>
        <v>659.2</v>
      </c>
      <c r="I687" s="78">
        <f t="shared" si="56"/>
        <v>659.2</v>
      </c>
      <c r="J687" s="113">
        <f t="shared" si="57"/>
        <v>0</v>
      </c>
      <c r="K687" s="78">
        <f t="shared" si="58"/>
        <v>674.4</v>
      </c>
      <c r="L687" s="78">
        <f t="shared" si="58"/>
        <v>800</v>
      </c>
    </row>
    <row r="688" spans="1:12" s="5" customFormat="1" ht="36.75" customHeight="1">
      <c r="A688" s="119" t="s">
        <v>763</v>
      </c>
      <c r="B688" s="111" t="s">
        <v>354</v>
      </c>
      <c r="C688" s="111" t="s">
        <v>139</v>
      </c>
      <c r="D688" s="111" t="s">
        <v>153</v>
      </c>
      <c r="E688" s="111" t="s">
        <v>404</v>
      </c>
      <c r="F688" s="111" t="s">
        <v>764</v>
      </c>
      <c r="G688" s="112"/>
      <c r="H688" s="78">
        <f t="shared" si="56"/>
        <v>659.2</v>
      </c>
      <c r="I688" s="78">
        <f t="shared" si="56"/>
        <v>659.2</v>
      </c>
      <c r="J688" s="113">
        <f t="shared" si="57"/>
        <v>0</v>
      </c>
      <c r="K688" s="78">
        <f t="shared" si="58"/>
        <v>674.4</v>
      </c>
      <c r="L688" s="78">
        <f t="shared" si="58"/>
        <v>800</v>
      </c>
    </row>
    <row r="689" spans="1:12" s="5" customFormat="1" ht="25.5" customHeight="1">
      <c r="A689" s="114" t="s">
        <v>116</v>
      </c>
      <c r="B689" s="111" t="s">
        <v>354</v>
      </c>
      <c r="C689" s="111" t="s">
        <v>139</v>
      </c>
      <c r="D689" s="111" t="s">
        <v>153</v>
      </c>
      <c r="E689" s="111" t="s">
        <v>404</v>
      </c>
      <c r="F689" s="111" t="s">
        <v>764</v>
      </c>
      <c r="G689" s="112" t="s">
        <v>57</v>
      </c>
      <c r="H689" s="78">
        <f>'Пр. 11'!I107</f>
        <v>659.2</v>
      </c>
      <c r="I689" s="78">
        <f>'Пр. 11'!J107</f>
        <v>659.2</v>
      </c>
      <c r="J689" s="113">
        <f t="shared" si="57"/>
        <v>0</v>
      </c>
      <c r="K689" s="78">
        <f>'Пр. 11'!L107</f>
        <v>674.4</v>
      </c>
      <c r="L689" s="78">
        <f>'Пр. 11'!M107</f>
        <v>800</v>
      </c>
    </row>
    <row r="690" spans="1:12" s="5" customFormat="1" ht="54" customHeight="1">
      <c r="A690" s="114" t="s">
        <v>405</v>
      </c>
      <c r="B690" s="111" t="s">
        <v>354</v>
      </c>
      <c r="C690" s="111" t="s">
        <v>139</v>
      </c>
      <c r="D690" s="111" t="s">
        <v>153</v>
      </c>
      <c r="E690" s="111" t="s">
        <v>406</v>
      </c>
      <c r="F690" s="111"/>
      <c r="G690" s="120"/>
      <c r="H690" s="78">
        <f>H691</f>
        <v>861.2</v>
      </c>
      <c r="I690" s="78">
        <f>I691</f>
        <v>861.2</v>
      </c>
      <c r="J690" s="113">
        <f t="shared" si="57"/>
        <v>0</v>
      </c>
      <c r="K690" s="78">
        <f>K691</f>
        <v>861.2</v>
      </c>
      <c r="L690" s="78">
        <f>L691</f>
        <v>861.2</v>
      </c>
    </row>
    <row r="691" spans="1:12" s="5" customFormat="1" ht="37.5" customHeight="1">
      <c r="A691" s="114" t="s">
        <v>763</v>
      </c>
      <c r="B691" s="111" t="s">
        <v>354</v>
      </c>
      <c r="C691" s="111" t="s">
        <v>139</v>
      </c>
      <c r="D691" s="111" t="s">
        <v>153</v>
      </c>
      <c r="E691" s="111" t="s">
        <v>406</v>
      </c>
      <c r="F691" s="111" t="s">
        <v>764</v>
      </c>
      <c r="G691" s="112"/>
      <c r="H691" s="78">
        <f>H692</f>
        <v>861.2</v>
      </c>
      <c r="I691" s="78">
        <f>I692</f>
        <v>861.2</v>
      </c>
      <c r="J691" s="113">
        <f t="shared" si="57"/>
        <v>0</v>
      </c>
      <c r="K691" s="78">
        <f>K692</f>
        <v>861.2</v>
      </c>
      <c r="L691" s="78">
        <f>L692</f>
        <v>861.2</v>
      </c>
    </row>
    <row r="692" spans="1:12" s="5" customFormat="1" ht="21" customHeight="1">
      <c r="A692" s="114" t="s">
        <v>116</v>
      </c>
      <c r="B692" s="111" t="s">
        <v>354</v>
      </c>
      <c r="C692" s="111" t="s">
        <v>139</v>
      </c>
      <c r="D692" s="111" t="s">
        <v>153</v>
      </c>
      <c r="E692" s="111" t="s">
        <v>406</v>
      </c>
      <c r="F692" s="111" t="s">
        <v>764</v>
      </c>
      <c r="G692" s="112" t="s">
        <v>57</v>
      </c>
      <c r="H692" s="78">
        <f>'Пр. 11'!I109</f>
        <v>861.2</v>
      </c>
      <c r="I692" s="78">
        <f>'Пр. 11'!J109</f>
        <v>861.2</v>
      </c>
      <c r="J692" s="113">
        <f t="shared" si="57"/>
        <v>0</v>
      </c>
      <c r="K692" s="78">
        <f>'Пр. 11'!L109</f>
        <v>861.2</v>
      </c>
      <c r="L692" s="78">
        <f>'Пр. 11'!M109</f>
        <v>861.2</v>
      </c>
    </row>
    <row r="693" spans="1:12" s="5" customFormat="1" ht="41.25" customHeight="1">
      <c r="A693" s="128" t="s">
        <v>923</v>
      </c>
      <c r="B693" s="71" t="s">
        <v>354</v>
      </c>
      <c r="C693" s="71" t="s">
        <v>140</v>
      </c>
      <c r="D693" s="71" t="s">
        <v>155</v>
      </c>
      <c r="E693" s="71" t="s">
        <v>156</v>
      </c>
      <c r="F693" s="71"/>
      <c r="G693" s="107"/>
      <c r="H693" s="37">
        <f aca="true" t="shared" si="59" ref="H693:I696">H694</f>
        <v>297</v>
      </c>
      <c r="I693" s="37">
        <f t="shared" si="59"/>
        <v>297</v>
      </c>
      <c r="J693" s="108">
        <f t="shared" si="57"/>
        <v>0</v>
      </c>
      <c r="K693" s="37">
        <f>K694</f>
        <v>304</v>
      </c>
      <c r="L693" s="37">
        <f>L694</f>
        <v>305</v>
      </c>
    </row>
    <row r="694" spans="1:12" s="5" customFormat="1" ht="47.25" customHeight="1">
      <c r="A694" s="128" t="s">
        <v>294</v>
      </c>
      <c r="B694" s="71" t="s">
        <v>354</v>
      </c>
      <c r="C694" s="71" t="s">
        <v>140</v>
      </c>
      <c r="D694" s="71" t="s">
        <v>153</v>
      </c>
      <c r="E694" s="71" t="s">
        <v>156</v>
      </c>
      <c r="F694" s="71"/>
      <c r="G694" s="107"/>
      <c r="H694" s="37">
        <f t="shared" si="59"/>
        <v>297</v>
      </c>
      <c r="I694" s="37">
        <f t="shared" si="59"/>
        <v>297</v>
      </c>
      <c r="J694" s="108">
        <f t="shared" si="57"/>
        <v>0</v>
      </c>
      <c r="K694" s="37">
        <f>K695</f>
        <v>304</v>
      </c>
      <c r="L694" s="37">
        <f>L695</f>
        <v>305</v>
      </c>
    </row>
    <row r="695" spans="1:12" s="5" customFormat="1" ht="33.75" customHeight="1">
      <c r="A695" s="114" t="s">
        <v>924</v>
      </c>
      <c r="B695" s="111" t="s">
        <v>354</v>
      </c>
      <c r="C695" s="111" t="s">
        <v>140</v>
      </c>
      <c r="D695" s="111" t="s">
        <v>153</v>
      </c>
      <c r="E695" s="111" t="s">
        <v>295</v>
      </c>
      <c r="F695" s="111"/>
      <c r="G695" s="112"/>
      <c r="H695" s="78">
        <f t="shared" si="59"/>
        <v>297</v>
      </c>
      <c r="I695" s="78">
        <f t="shared" si="59"/>
        <v>297</v>
      </c>
      <c r="J695" s="113">
        <f t="shared" si="57"/>
        <v>0</v>
      </c>
      <c r="K695" s="78">
        <f>K697</f>
        <v>304</v>
      </c>
      <c r="L695" s="78">
        <f>L697</f>
        <v>305</v>
      </c>
    </row>
    <row r="696" spans="1:12" s="5" customFormat="1" ht="35.25" customHeight="1">
      <c r="A696" s="114" t="s">
        <v>763</v>
      </c>
      <c r="B696" s="111" t="s">
        <v>354</v>
      </c>
      <c r="C696" s="111" t="s">
        <v>140</v>
      </c>
      <c r="D696" s="111" t="s">
        <v>153</v>
      </c>
      <c r="E696" s="111" t="s">
        <v>295</v>
      </c>
      <c r="F696" s="111" t="s">
        <v>764</v>
      </c>
      <c r="G696" s="112"/>
      <c r="H696" s="78">
        <f t="shared" si="59"/>
        <v>297</v>
      </c>
      <c r="I696" s="78">
        <f t="shared" si="59"/>
        <v>297</v>
      </c>
      <c r="J696" s="113">
        <f t="shared" si="57"/>
        <v>0</v>
      </c>
      <c r="K696" s="78">
        <f>K697</f>
        <v>304</v>
      </c>
      <c r="L696" s="78">
        <f>L697</f>
        <v>305</v>
      </c>
    </row>
    <row r="697" spans="1:12" s="5" customFormat="1" ht="22.5" customHeight="1">
      <c r="A697" s="114" t="s">
        <v>86</v>
      </c>
      <c r="B697" s="111" t="s">
        <v>354</v>
      </c>
      <c r="C697" s="111" t="s">
        <v>140</v>
      </c>
      <c r="D697" s="111" t="s">
        <v>153</v>
      </c>
      <c r="E697" s="111" t="s">
        <v>295</v>
      </c>
      <c r="F697" s="111" t="s">
        <v>764</v>
      </c>
      <c r="G697" s="112" t="s">
        <v>87</v>
      </c>
      <c r="H697" s="78">
        <f>'Пр. 11'!I962</f>
        <v>297</v>
      </c>
      <c r="I697" s="78">
        <f>'Пр. 11'!J962</f>
        <v>297</v>
      </c>
      <c r="J697" s="113">
        <f t="shared" si="57"/>
        <v>0</v>
      </c>
      <c r="K697" s="78">
        <f>'Пр. 11'!L962</f>
        <v>304</v>
      </c>
      <c r="L697" s="78">
        <f>'Пр. 11'!M962</f>
        <v>305</v>
      </c>
    </row>
    <row r="698" spans="1:12" s="5" customFormat="1" ht="37.5" customHeight="1">
      <c r="A698" s="122" t="s">
        <v>407</v>
      </c>
      <c r="B698" s="107" t="s">
        <v>408</v>
      </c>
      <c r="C698" s="105">
        <v>0</v>
      </c>
      <c r="D698" s="107" t="s">
        <v>155</v>
      </c>
      <c r="E698" s="107" t="s">
        <v>156</v>
      </c>
      <c r="F698" s="105"/>
      <c r="G698" s="107"/>
      <c r="H698" s="37">
        <f>H699+H704+H709+H794</f>
        <v>173091.10000000003</v>
      </c>
      <c r="I698" s="37">
        <f>I699+I704+I709+I794</f>
        <v>173141.50000000006</v>
      </c>
      <c r="J698" s="108">
        <f t="shared" si="57"/>
        <v>50.40000000002328</v>
      </c>
      <c r="K698" s="37">
        <f>K699+K704+K709+K794</f>
        <v>163179.80000000002</v>
      </c>
      <c r="L698" s="37">
        <f>L699+L704+L709+L794</f>
        <v>164381.30000000005</v>
      </c>
    </row>
    <row r="699" spans="1:12" s="5" customFormat="1" ht="28.5" customHeight="1">
      <c r="A699" s="109" t="s">
        <v>409</v>
      </c>
      <c r="B699" s="71" t="s">
        <v>408</v>
      </c>
      <c r="C699" s="71" t="s">
        <v>136</v>
      </c>
      <c r="D699" s="71" t="s">
        <v>155</v>
      </c>
      <c r="E699" s="71" t="s">
        <v>156</v>
      </c>
      <c r="F699" s="71"/>
      <c r="G699" s="107"/>
      <c r="H699" s="37">
        <f aca="true" t="shared" si="60" ref="H699:L702">H700</f>
        <v>3619.8</v>
      </c>
      <c r="I699" s="37">
        <f t="shared" si="60"/>
        <v>3047.3</v>
      </c>
      <c r="J699" s="108">
        <f aca="true" t="shared" si="61" ref="J699:J770">I699-H699</f>
        <v>-572.5</v>
      </c>
      <c r="K699" s="37">
        <f t="shared" si="60"/>
        <v>3988.2</v>
      </c>
      <c r="L699" s="37">
        <f t="shared" si="60"/>
        <v>4147.7</v>
      </c>
    </row>
    <row r="700" spans="1:12" s="5" customFormat="1" ht="21" customHeight="1">
      <c r="A700" s="122" t="s">
        <v>410</v>
      </c>
      <c r="B700" s="71" t="s">
        <v>408</v>
      </c>
      <c r="C700" s="71" t="s">
        <v>136</v>
      </c>
      <c r="D700" s="71" t="s">
        <v>153</v>
      </c>
      <c r="E700" s="71" t="s">
        <v>156</v>
      </c>
      <c r="F700" s="71"/>
      <c r="G700" s="107"/>
      <c r="H700" s="37">
        <f t="shared" si="60"/>
        <v>3619.8</v>
      </c>
      <c r="I700" s="37">
        <f t="shared" si="60"/>
        <v>3047.3</v>
      </c>
      <c r="J700" s="108">
        <f t="shared" si="61"/>
        <v>-572.5</v>
      </c>
      <c r="K700" s="37">
        <f t="shared" si="60"/>
        <v>3988.2</v>
      </c>
      <c r="L700" s="37">
        <f t="shared" si="60"/>
        <v>4147.7</v>
      </c>
    </row>
    <row r="701" spans="1:12" s="5" customFormat="1" ht="24.75" customHeight="1">
      <c r="A701" s="114" t="s">
        <v>411</v>
      </c>
      <c r="B701" s="112" t="s">
        <v>408</v>
      </c>
      <c r="C701" s="129">
        <v>1</v>
      </c>
      <c r="D701" s="111" t="s">
        <v>153</v>
      </c>
      <c r="E701" s="112" t="s">
        <v>412</v>
      </c>
      <c r="F701" s="129"/>
      <c r="G701" s="112"/>
      <c r="H701" s="78">
        <f t="shared" si="60"/>
        <v>3619.8</v>
      </c>
      <c r="I701" s="78">
        <f t="shared" si="60"/>
        <v>3047.3</v>
      </c>
      <c r="J701" s="113">
        <f t="shared" si="61"/>
        <v>-572.5</v>
      </c>
      <c r="K701" s="78">
        <f t="shared" si="60"/>
        <v>3988.2</v>
      </c>
      <c r="L701" s="78">
        <f t="shared" si="60"/>
        <v>4147.7</v>
      </c>
    </row>
    <row r="702" spans="1:12" s="5" customFormat="1" ht="64.5" customHeight="1">
      <c r="A702" s="114" t="s">
        <v>755</v>
      </c>
      <c r="B702" s="112" t="s">
        <v>408</v>
      </c>
      <c r="C702" s="129">
        <v>1</v>
      </c>
      <c r="D702" s="111" t="s">
        <v>153</v>
      </c>
      <c r="E702" s="112" t="s">
        <v>412</v>
      </c>
      <c r="F702" s="129">
        <v>100</v>
      </c>
      <c r="G702" s="112"/>
      <c r="H702" s="78">
        <f t="shared" si="60"/>
        <v>3619.8</v>
      </c>
      <c r="I702" s="78">
        <f t="shared" si="60"/>
        <v>3047.3</v>
      </c>
      <c r="J702" s="113">
        <f t="shared" si="61"/>
        <v>-572.5</v>
      </c>
      <c r="K702" s="78">
        <f t="shared" si="60"/>
        <v>3988.2</v>
      </c>
      <c r="L702" s="78">
        <f t="shared" si="60"/>
        <v>4147.7</v>
      </c>
    </row>
    <row r="703" spans="1:12" s="9" customFormat="1" ht="39" customHeight="1">
      <c r="A703" s="114" t="s">
        <v>44</v>
      </c>
      <c r="B703" s="112" t="s">
        <v>408</v>
      </c>
      <c r="C703" s="129">
        <v>1</v>
      </c>
      <c r="D703" s="111" t="s">
        <v>153</v>
      </c>
      <c r="E703" s="112" t="s">
        <v>412</v>
      </c>
      <c r="F703" s="129">
        <v>100</v>
      </c>
      <c r="G703" s="112" t="s">
        <v>45</v>
      </c>
      <c r="H703" s="78">
        <f>'Пр. 11'!I784</f>
        <v>3619.8</v>
      </c>
      <c r="I703" s="78">
        <f>'Пр. 11'!J784</f>
        <v>3047.3</v>
      </c>
      <c r="J703" s="113">
        <f t="shared" si="61"/>
        <v>-572.5</v>
      </c>
      <c r="K703" s="78">
        <f>'Пр. 11'!L784</f>
        <v>3988.2</v>
      </c>
      <c r="L703" s="78">
        <f>'Пр. 11'!M784</f>
        <v>4147.7</v>
      </c>
    </row>
    <row r="704" spans="1:12" ht="52.5" customHeight="1">
      <c r="A704" s="109" t="s">
        <v>413</v>
      </c>
      <c r="B704" s="71" t="s">
        <v>408</v>
      </c>
      <c r="C704" s="71" t="s">
        <v>137</v>
      </c>
      <c r="D704" s="71" t="s">
        <v>155</v>
      </c>
      <c r="E704" s="71" t="s">
        <v>156</v>
      </c>
      <c r="F704" s="71"/>
      <c r="G704" s="107"/>
      <c r="H704" s="37">
        <f aca="true" t="shared" si="62" ref="H704:I707">H705</f>
        <v>3073.5999999999995</v>
      </c>
      <c r="I704" s="37">
        <f t="shared" si="62"/>
        <v>3073.5999999999995</v>
      </c>
      <c r="J704" s="108">
        <f t="shared" si="61"/>
        <v>0</v>
      </c>
      <c r="K704" s="37">
        <f aca="true" t="shared" si="63" ref="K704:L707">K705</f>
        <v>4193.9</v>
      </c>
      <c r="L704" s="37">
        <f t="shared" si="63"/>
        <v>4193.9</v>
      </c>
    </row>
    <row r="705" spans="1:12" s="9" customFormat="1" ht="19.5" customHeight="1">
      <c r="A705" s="122" t="s">
        <v>410</v>
      </c>
      <c r="B705" s="71" t="s">
        <v>408</v>
      </c>
      <c r="C705" s="71" t="s">
        <v>137</v>
      </c>
      <c r="D705" s="71" t="s">
        <v>153</v>
      </c>
      <c r="E705" s="71" t="s">
        <v>156</v>
      </c>
      <c r="F705" s="71"/>
      <c r="G705" s="107"/>
      <c r="H705" s="37">
        <f t="shared" si="62"/>
        <v>3073.5999999999995</v>
      </c>
      <c r="I705" s="37">
        <f t="shared" si="62"/>
        <v>3073.5999999999995</v>
      </c>
      <c r="J705" s="108">
        <f t="shared" si="61"/>
        <v>0</v>
      </c>
      <c r="K705" s="37">
        <f t="shared" si="63"/>
        <v>4193.9</v>
      </c>
      <c r="L705" s="37">
        <f t="shared" si="63"/>
        <v>4193.9</v>
      </c>
    </row>
    <row r="706" spans="1:12" ht="21" customHeight="1">
      <c r="A706" s="114" t="s">
        <v>411</v>
      </c>
      <c r="B706" s="112" t="s">
        <v>408</v>
      </c>
      <c r="C706" s="129">
        <v>2</v>
      </c>
      <c r="D706" s="111" t="s">
        <v>153</v>
      </c>
      <c r="E706" s="112" t="s">
        <v>412</v>
      </c>
      <c r="F706" s="129"/>
      <c r="G706" s="112"/>
      <c r="H706" s="78">
        <f t="shared" si="62"/>
        <v>3073.5999999999995</v>
      </c>
      <c r="I706" s="78">
        <f t="shared" si="62"/>
        <v>3073.5999999999995</v>
      </c>
      <c r="J706" s="113">
        <f t="shared" si="61"/>
        <v>0</v>
      </c>
      <c r="K706" s="78">
        <f t="shared" si="63"/>
        <v>4193.9</v>
      </c>
      <c r="L706" s="78">
        <f t="shared" si="63"/>
        <v>4193.9</v>
      </c>
    </row>
    <row r="707" spans="1:12" ht="66" customHeight="1">
      <c r="A707" s="114" t="s">
        <v>755</v>
      </c>
      <c r="B707" s="112" t="s">
        <v>408</v>
      </c>
      <c r="C707" s="129">
        <v>2</v>
      </c>
      <c r="D707" s="111" t="s">
        <v>153</v>
      </c>
      <c r="E707" s="112" t="s">
        <v>412</v>
      </c>
      <c r="F707" s="129">
        <v>100</v>
      </c>
      <c r="G707" s="112"/>
      <c r="H707" s="78">
        <f t="shared" si="62"/>
        <v>3073.5999999999995</v>
      </c>
      <c r="I707" s="78">
        <f t="shared" si="62"/>
        <v>3073.5999999999995</v>
      </c>
      <c r="J707" s="113">
        <f t="shared" si="61"/>
        <v>0</v>
      </c>
      <c r="K707" s="78">
        <f t="shared" si="63"/>
        <v>4193.9</v>
      </c>
      <c r="L707" s="78">
        <f t="shared" si="63"/>
        <v>4193.9</v>
      </c>
    </row>
    <row r="708" spans="1:12" ht="51" customHeight="1">
      <c r="A708" s="114" t="s">
        <v>414</v>
      </c>
      <c r="B708" s="112" t="s">
        <v>408</v>
      </c>
      <c r="C708" s="129">
        <v>2</v>
      </c>
      <c r="D708" s="111" t="s">
        <v>153</v>
      </c>
      <c r="E708" s="112" t="s">
        <v>412</v>
      </c>
      <c r="F708" s="129">
        <v>100</v>
      </c>
      <c r="G708" s="112" t="s">
        <v>49</v>
      </c>
      <c r="H708" s="78">
        <f>'Пр. 11'!I45</f>
        <v>3073.5999999999995</v>
      </c>
      <c r="I708" s="78">
        <f>'Пр. 11'!J45</f>
        <v>3073.5999999999995</v>
      </c>
      <c r="J708" s="113">
        <f t="shared" si="61"/>
        <v>0</v>
      </c>
      <c r="K708" s="78">
        <f>'Пр. 11'!L45</f>
        <v>4193.9</v>
      </c>
      <c r="L708" s="78">
        <f>'Пр. 11'!M45</f>
        <v>4193.9</v>
      </c>
    </row>
    <row r="709" spans="1:12" ht="24" customHeight="1">
      <c r="A709" s="109" t="s">
        <v>415</v>
      </c>
      <c r="B709" s="107" t="s">
        <v>408</v>
      </c>
      <c r="C709" s="71" t="s">
        <v>139</v>
      </c>
      <c r="D709" s="71" t="s">
        <v>155</v>
      </c>
      <c r="E709" s="71" t="s">
        <v>156</v>
      </c>
      <c r="F709" s="71"/>
      <c r="G709" s="107"/>
      <c r="H709" s="37">
        <f>H710</f>
        <v>164346.40000000005</v>
      </c>
      <c r="I709" s="37">
        <f>I710</f>
        <v>164969.30000000008</v>
      </c>
      <c r="J709" s="108">
        <f t="shared" si="61"/>
        <v>622.9000000000233</v>
      </c>
      <c r="K709" s="37">
        <f>K710</f>
        <v>152864.30000000002</v>
      </c>
      <c r="L709" s="37">
        <f>L710</f>
        <v>153821.00000000003</v>
      </c>
    </row>
    <row r="710" spans="1:12" s="9" customFormat="1" ht="22.5" customHeight="1">
      <c r="A710" s="122" t="s">
        <v>410</v>
      </c>
      <c r="B710" s="71" t="s">
        <v>408</v>
      </c>
      <c r="C710" s="71" t="s">
        <v>139</v>
      </c>
      <c r="D710" s="71" t="s">
        <v>153</v>
      </c>
      <c r="E710" s="71" t="s">
        <v>156</v>
      </c>
      <c r="F710" s="71"/>
      <c r="G710" s="107"/>
      <c r="H710" s="37">
        <f>H711+H730+H733+H736+H739+H750+H753+H760+H763+H768+H771+H776+H781+H788+H791+H744</f>
        <v>164346.40000000005</v>
      </c>
      <c r="I710" s="37">
        <f>I711+I730+I733+I736+I739+I750+I753+I760+I763+I768+I771+I776+I781+I788+I791+I744</f>
        <v>164969.30000000008</v>
      </c>
      <c r="J710" s="108">
        <f t="shared" si="61"/>
        <v>622.9000000000233</v>
      </c>
      <c r="K710" s="37">
        <f>K711+K730+K733+K736+K739+K750+K753+K760+K763+K768+K771+K776+K781+K788+K791+K744</f>
        <v>152864.30000000002</v>
      </c>
      <c r="L710" s="37">
        <f>L711+L730+L733+L736+L739+L750+L753+L760+L763+L768+L771+L776+L781+L788+L791+L744</f>
        <v>153821.00000000003</v>
      </c>
    </row>
    <row r="711" spans="1:12" ht="24" customHeight="1">
      <c r="A711" s="114" t="s">
        <v>411</v>
      </c>
      <c r="B711" s="112" t="s">
        <v>408</v>
      </c>
      <c r="C711" s="129">
        <v>3</v>
      </c>
      <c r="D711" s="111" t="s">
        <v>153</v>
      </c>
      <c r="E711" s="112" t="s">
        <v>412</v>
      </c>
      <c r="F711" s="129"/>
      <c r="G711" s="112"/>
      <c r="H711" s="78">
        <f>H712+H718+H724</f>
        <v>123118.60000000002</v>
      </c>
      <c r="I711" s="78">
        <f>I712+I718+I724</f>
        <v>123691.10000000002</v>
      </c>
      <c r="J711" s="113">
        <f t="shared" si="61"/>
        <v>572.5</v>
      </c>
      <c r="K711" s="78">
        <f>K712+K718+K724</f>
        <v>118441.20000000001</v>
      </c>
      <c r="L711" s="78">
        <f>L712+L718+L724</f>
        <v>120789.30000000002</v>
      </c>
    </row>
    <row r="712" spans="1:12" s="9" customFormat="1" ht="63.75" customHeight="1">
      <c r="A712" s="114" t="s">
        <v>755</v>
      </c>
      <c r="B712" s="112" t="s">
        <v>408</v>
      </c>
      <c r="C712" s="129">
        <v>3</v>
      </c>
      <c r="D712" s="111" t="s">
        <v>153</v>
      </c>
      <c r="E712" s="112" t="s">
        <v>412</v>
      </c>
      <c r="F712" s="129">
        <v>100</v>
      </c>
      <c r="G712" s="112"/>
      <c r="H712" s="78">
        <f>H713+H714+H715+H716+H717</f>
        <v>115128.70000000001</v>
      </c>
      <c r="I712" s="78">
        <f>I713+I714+I715+I716+I717</f>
        <v>115698.70000000001</v>
      </c>
      <c r="J712" s="113">
        <f t="shared" si="61"/>
        <v>570</v>
      </c>
      <c r="K712" s="78">
        <f>K713+K714+K715+K716+K717</f>
        <v>110599.1</v>
      </c>
      <c r="L712" s="78">
        <f>L713+L714+L715+L716+L717</f>
        <v>112506.40000000001</v>
      </c>
    </row>
    <row r="713" spans="1:12" s="5" customFormat="1" ht="51.75" customHeight="1">
      <c r="A713" s="114" t="s">
        <v>46</v>
      </c>
      <c r="B713" s="112" t="s">
        <v>408</v>
      </c>
      <c r="C713" s="129">
        <v>3</v>
      </c>
      <c r="D713" s="111" t="s">
        <v>153</v>
      </c>
      <c r="E713" s="112" t="s">
        <v>412</v>
      </c>
      <c r="F713" s="129">
        <v>100</v>
      </c>
      <c r="G713" s="112" t="s">
        <v>47</v>
      </c>
      <c r="H713" s="78">
        <f>'Пр. 11'!I795</f>
        <v>3651.5</v>
      </c>
      <c r="I713" s="78">
        <f>'Пр. 11'!J795</f>
        <v>4221.5</v>
      </c>
      <c r="J713" s="113">
        <f t="shared" si="61"/>
        <v>570</v>
      </c>
      <c r="K713" s="78">
        <f>'Пр. 11'!L795</f>
        <v>3797.2</v>
      </c>
      <c r="L713" s="78">
        <f>'Пр. 11'!M795</f>
        <v>3948.6</v>
      </c>
    </row>
    <row r="714" spans="1:12" ht="51" customHeight="1">
      <c r="A714" s="114" t="s">
        <v>414</v>
      </c>
      <c r="B714" s="112" t="s">
        <v>408</v>
      </c>
      <c r="C714" s="129">
        <v>3</v>
      </c>
      <c r="D714" s="111" t="s">
        <v>153</v>
      </c>
      <c r="E714" s="112" t="s">
        <v>412</v>
      </c>
      <c r="F714" s="129">
        <v>100</v>
      </c>
      <c r="G714" s="112" t="s">
        <v>49</v>
      </c>
      <c r="H714" s="78">
        <f>'Пр. 11'!I49</f>
        <v>68293.6</v>
      </c>
      <c r="I714" s="78">
        <f>'Пр. 11'!J49</f>
        <v>68293.6</v>
      </c>
      <c r="J714" s="113">
        <f t="shared" si="61"/>
        <v>0</v>
      </c>
      <c r="K714" s="78">
        <f>'Пр. 11'!L49</f>
        <v>68293.6</v>
      </c>
      <c r="L714" s="78">
        <f>'Пр. 11'!M49</f>
        <v>68193.6</v>
      </c>
    </row>
    <row r="715" spans="1:12" ht="40.5" customHeight="1">
      <c r="A715" s="114" t="s">
        <v>52</v>
      </c>
      <c r="B715" s="112" t="s">
        <v>408</v>
      </c>
      <c r="C715" s="129">
        <v>3</v>
      </c>
      <c r="D715" s="111" t="s">
        <v>153</v>
      </c>
      <c r="E715" s="112" t="s">
        <v>412</v>
      </c>
      <c r="F715" s="129">
        <v>100</v>
      </c>
      <c r="G715" s="112" t="s">
        <v>53</v>
      </c>
      <c r="H715" s="78">
        <f>'Пр. 11'!I508+'Пр. 11'!I1177</f>
        <v>23524.6</v>
      </c>
      <c r="I715" s="78">
        <f>'Пр. 11'!J508+'Пр. 11'!J1177</f>
        <v>23524.6</v>
      </c>
      <c r="J715" s="113">
        <f t="shared" si="61"/>
        <v>0</v>
      </c>
      <c r="K715" s="78">
        <f>'Пр. 11'!L508+'Пр. 11'!L1177</f>
        <v>21089.3</v>
      </c>
      <c r="L715" s="78">
        <f>'Пр. 11'!M508+'Пр. 11'!M1177</f>
        <v>22092.3</v>
      </c>
    </row>
    <row r="716" spans="1:12" ht="25.5" customHeight="1">
      <c r="A716" s="114" t="s">
        <v>56</v>
      </c>
      <c r="B716" s="112" t="s">
        <v>408</v>
      </c>
      <c r="C716" s="129">
        <v>3</v>
      </c>
      <c r="D716" s="111" t="s">
        <v>153</v>
      </c>
      <c r="E716" s="112" t="s">
        <v>412</v>
      </c>
      <c r="F716" s="129">
        <v>100</v>
      </c>
      <c r="G716" s="112" t="s">
        <v>57</v>
      </c>
      <c r="H716" s="78">
        <f>'Пр. 11'!I704</f>
        <v>13325</v>
      </c>
      <c r="I716" s="78">
        <f>'Пр. 11'!J704</f>
        <v>13325</v>
      </c>
      <c r="J716" s="113">
        <f t="shared" si="61"/>
        <v>0</v>
      </c>
      <c r="K716" s="78">
        <f>'Пр. 11'!L704</f>
        <v>11196</v>
      </c>
      <c r="L716" s="78">
        <f>'Пр. 11'!M704</f>
        <v>11643.9</v>
      </c>
    </row>
    <row r="717" spans="1:12" s="9" customFormat="1" ht="21.75" customHeight="1">
      <c r="A717" s="114" t="s">
        <v>100</v>
      </c>
      <c r="B717" s="112" t="s">
        <v>408</v>
      </c>
      <c r="C717" s="129">
        <v>3</v>
      </c>
      <c r="D717" s="111" t="s">
        <v>153</v>
      </c>
      <c r="E717" s="112" t="s">
        <v>412</v>
      </c>
      <c r="F717" s="129">
        <v>100</v>
      </c>
      <c r="G717" s="112" t="s">
        <v>101</v>
      </c>
      <c r="H717" s="78">
        <f>'Пр. 11'!I854</f>
        <v>6334</v>
      </c>
      <c r="I717" s="78">
        <f>'Пр. 11'!J854</f>
        <v>6334</v>
      </c>
      <c r="J717" s="113">
        <f t="shared" si="61"/>
        <v>0</v>
      </c>
      <c r="K717" s="78">
        <f>'Пр. 11'!L854</f>
        <v>6223</v>
      </c>
      <c r="L717" s="78">
        <f>'Пр. 11'!M854</f>
        <v>6628</v>
      </c>
    </row>
    <row r="718" spans="1:12" s="5" customFormat="1" ht="36" customHeight="1">
      <c r="A718" s="114" t="s">
        <v>758</v>
      </c>
      <c r="B718" s="112" t="s">
        <v>408</v>
      </c>
      <c r="C718" s="129">
        <v>3</v>
      </c>
      <c r="D718" s="111" t="s">
        <v>153</v>
      </c>
      <c r="E718" s="112" t="s">
        <v>412</v>
      </c>
      <c r="F718" s="129">
        <v>200</v>
      </c>
      <c r="G718" s="112"/>
      <c r="H718" s="78">
        <f>H719+H720+H721+H722+H723</f>
        <v>7641.8</v>
      </c>
      <c r="I718" s="78">
        <f>I719+I720+I721+I722+I723</f>
        <v>7641.8</v>
      </c>
      <c r="J718" s="113">
        <f t="shared" si="61"/>
        <v>0</v>
      </c>
      <c r="K718" s="78">
        <f>K719+K720+K721+K722+K723</f>
        <v>7489</v>
      </c>
      <c r="L718" s="78">
        <f>L719+L720+L721+L722+L723</f>
        <v>7924.799999999999</v>
      </c>
    </row>
    <row r="719" spans="1:12" ht="54" customHeight="1">
      <c r="A719" s="114" t="s">
        <v>46</v>
      </c>
      <c r="B719" s="112" t="s">
        <v>408</v>
      </c>
      <c r="C719" s="129">
        <v>3</v>
      </c>
      <c r="D719" s="111" t="s">
        <v>153</v>
      </c>
      <c r="E719" s="112" t="s">
        <v>412</v>
      </c>
      <c r="F719" s="129">
        <v>200</v>
      </c>
      <c r="G719" s="112" t="s">
        <v>47</v>
      </c>
      <c r="H719" s="78">
        <f>'Пр. 11'!I796</f>
        <v>730.4</v>
      </c>
      <c r="I719" s="78">
        <f>'Пр. 11'!J796</f>
        <v>730.4</v>
      </c>
      <c r="J719" s="113">
        <f t="shared" si="61"/>
        <v>0</v>
      </c>
      <c r="K719" s="78">
        <f>'Пр. 11'!L796</f>
        <v>354.2</v>
      </c>
      <c r="L719" s="78">
        <f>'Пр. 11'!M796</f>
        <v>367.9</v>
      </c>
    </row>
    <row r="720" spans="1:12" ht="54" customHeight="1">
      <c r="A720" s="114" t="s">
        <v>414</v>
      </c>
      <c r="B720" s="112" t="s">
        <v>408</v>
      </c>
      <c r="C720" s="129">
        <v>3</v>
      </c>
      <c r="D720" s="111" t="s">
        <v>153</v>
      </c>
      <c r="E720" s="112" t="s">
        <v>412</v>
      </c>
      <c r="F720" s="129">
        <v>200</v>
      </c>
      <c r="G720" s="112" t="s">
        <v>49</v>
      </c>
      <c r="H720" s="78">
        <f>'Пр. 11'!I50</f>
        <v>4457.8</v>
      </c>
      <c r="I720" s="78">
        <f>'Пр. 11'!J50</f>
        <v>4457.8</v>
      </c>
      <c r="J720" s="113">
        <f t="shared" si="61"/>
        <v>0</v>
      </c>
      <c r="K720" s="78">
        <f>'Пр. 11'!L50</f>
        <v>5172.2</v>
      </c>
      <c r="L720" s="78">
        <f>'Пр. 11'!M50</f>
        <v>5297.4</v>
      </c>
    </row>
    <row r="721" spans="1:12" ht="39" customHeight="1">
      <c r="A721" s="114" t="s">
        <v>52</v>
      </c>
      <c r="B721" s="112" t="s">
        <v>408</v>
      </c>
      <c r="C721" s="129">
        <v>3</v>
      </c>
      <c r="D721" s="111" t="s">
        <v>153</v>
      </c>
      <c r="E721" s="112" t="s">
        <v>412</v>
      </c>
      <c r="F721" s="129">
        <v>200</v>
      </c>
      <c r="G721" s="112" t="s">
        <v>53</v>
      </c>
      <c r="H721" s="78">
        <f>'Пр. 11'!I509+'Пр. 11'!I1178</f>
        <v>1574.8000000000002</v>
      </c>
      <c r="I721" s="78">
        <f>'Пр. 11'!J509+'Пр. 11'!J1178</f>
        <v>1574.8000000000002</v>
      </c>
      <c r="J721" s="113">
        <f t="shared" si="61"/>
        <v>0</v>
      </c>
      <c r="K721" s="78">
        <f>'Пр. 11'!L509+'Пр. 11'!L1178</f>
        <v>1232.5</v>
      </c>
      <c r="L721" s="78">
        <f>'Пр. 11'!M509+'Пр. 11'!M1178</f>
        <v>1494.4</v>
      </c>
    </row>
    <row r="722" spans="1:12" ht="20.25" customHeight="1">
      <c r="A722" s="114" t="s">
        <v>56</v>
      </c>
      <c r="B722" s="112" t="s">
        <v>408</v>
      </c>
      <c r="C722" s="129">
        <v>3</v>
      </c>
      <c r="D722" s="111" t="s">
        <v>153</v>
      </c>
      <c r="E722" s="112" t="s">
        <v>412</v>
      </c>
      <c r="F722" s="129">
        <v>200</v>
      </c>
      <c r="G722" s="112" t="s">
        <v>57</v>
      </c>
      <c r="H722" s="78">
        <f>'Пр. 11'!I705</f>
        <v>681.8</v>
      </c>
      <c r="I722" s="78">
        <f>'Пр. 11'!J705</f>
        <v>681.8</v>
      </c>
      <c r="J722" s="113">
        <f t="shared" si="61"/>
        <v>0</v>
      </c>
      <c r="K722" s="78">
        <f>'Пр. 11'!L705</f>
        <v>504.1</v>
      </c>
      <c r="L722" s="78">
        <f>'Пр. 11'!M705</f>
        <v>533.1</v>
      </c>
    </row>
    <row r="723" spans="1:12" ht="18" customHeight="1">
      <c r="A723" s="114" t="s">
        <v>100</v>
      </c>
      <c r="B723" s="112" t="s">
        <v>408</v>
      </c>
      <c r="C723" s="129">
        <v>3</v>
      </c>
      <c r="D723" s="111" t="s">
        <v>153</v>
      </c>
      <c r="E723" s="112" t="s">
        <v>412</v>
      </c>
      <c r="F723" s="129">
        <v>200</v>
      </c>
      <c r="G723" s="112" t="s">
        <v>101</v>
      </c>
      <c r="H723" s="78">
        <f>'Пр. 11'!I855</f>
        <v>197</v>
      </c>
      <c r="I723" s="78">
        <f>'Пр. 11'!J855</f>
        <v>197</v>
      </c>
      <c r="J723" s="113">
        <f t="shared" si="61"/>
        <v>0</v>
      </c>
      <c r="K723" s="78">
        <f>'Пр. 11'!L855</f>
        <v>226</v>
      </c>
      <c r="L723" s="78">
        <f>'Пр. 11'!M855</f>
        <v>232</v>
      </c>
    </row>
    <row r="724" spans="1:12" s="9" customFormat="1" ht="21.75" customHeight="1">
      <c r="A724" s="114" t="s">
        <v>759</v>
      </c>
      <c r="B724" s="112" t="s">
        <v>408</v>
      </c>
      <c r="C724" s="129">
        <v>3</v>
      </c>
      <c r="D724" s="111" t="s">
        <v>153</v>
      </c>
      <c r="E724" s="112" t="s">
        <v>412</v>
      </c>
      <c r="F724" s="129">
        <v>800</v>
      </c>
      <c r="G724" s="112"/>
      <c r="H724" s="78">
        <f>H725+H726+H727+H728+H729</f>
        <v>348.09999999999997</v>
      </c>
      <c r="I724" s="78">
        <f>I725+I726+I727+I728+I729</f>
        <v>350.59999999999997</v>
      </c>
      <c r="J724" s="113">
        <f t="shared" si="61"/>
        <v>2.5</v>
      </c>
      <c r="K724" s="78">
        <f>K725+K726+K727+K728+K729</f>
        <v>353.09999999999997</v>
      </c>
      <c r="L724" s="78">
        <f>L725+L726+L727+L728+L729</f>
        <v>358.09999999999997</v>
      </c>
    </row>
    <row r="725" spans="1:12" ht="51" customHeight="1">
      <c r="A725" s="93" t="s">
        <v>46</v>
      </c>
      <c r="B725" s="112" t="s">
        <v>408</v>
      </c>
      <c r="C725" s="129">
        <v>3</v>
      </c>
      <c r="D725" s="111" t="s">
        <v>153</v>
      </c>
      <c r="E725" s="112" t="s">
        <v>412</v>
      </c>
      <c r="F725" s="129">
        <v>800</v>
      </c>
      <c r="G725" s="112" t="s">
        <v>47</v>
      </c>
      <c r="H725" s="78">
        <f>'Пр. 11'!I797</f>
        <v>0.5</v>
      </c>
      <c r="I725" s="78">
        <f>'Пр. 11'!J797</f>
        <v>3</v>
      </c>
      <c r="J725" s="113">
        <f t="shared" si="61"/>
        <v>2.5</v>
      </c>
      <c r="K725" s="78">
        <f>'Пр. 11'!L797</f>
        <v>0.5</v>
      </c>
      <c r="L725" s="78">
        <f>'Пр. 11'!M797</f>
        <v>0.5</v>
      </c>
    </row>
    <row r="726" spans="1:12" ht="51" customHeight="1">
      <c r="A726" s="114" t="s">
        <v>414</v>
      </c>
      <c r="B726" s="112" t="s">
        <v>408</v>
      </c>
      <c r="C726" s="129">
        <v>3</v>
      </c>
      <c r="D726" s="111" t="s">
        <v>153</v>
      </c>
      <c r="E726" s="112" t="s">
        <v>412</v>
      </c>
      <c r="F726" s="129">
        <v>800</v>
      </c>
      <c r="G726" s="112" t="s">
        <v>49</v>
      </c>
      <c r="H726" s="78">
        <f>'Пр. 11'!I51</f>
        <v>291.4</v>
      </c>
      <c r="I726" s="78">
        <f>'Пр. 11'!J51</f>
        <v>291.4</v>
      </c>
      <c r="J726" s="113">
        <f t="shared" si="61"/>
        <v>0</v>
      </c>
      <c r="K726" s="78">
        <f>'Пр. 11'!L51</f>
        <v>291.4</v>
      </c>
      <c r="L726" s="78">
        <f>'Пр. 11'!M51</f>
        <v>291.4</v>
      </c>
    </row>
    <row r="727" spans="1:12" ht="38.25" customHeight="1">
      <c r="A727" s="114" t="s">
        <v>52</v>
      </c>
      <c r="B727" s="112" t="s">
        <v>408</v>
      </c>
      <c r="C727" s="129">
        <v>3</v>
      </c>
      <c r="D727" s="111" t="s">
        <v>153</v>
      </c>
      <c r="E727" s="112" t="s">
        <v>412</v>
      </c>
      <c r="F727" s="129">
        <v>800</v>
      </c>
      <c r="G727" s="112" t="s">
        <v>53</v>
      </c>
      <c r="H727" s="78">
        <f>'Пр. 11'!I510+'Пр. 11'!I1179</f>
        <v>46.199999999999996</v>
      </c>
      <c r="I727" s="78">
        <f>'Пр. 11'!J510+'Пр. 11'!J1179</f>
        <v>46.199999999999996</v>
      </c>
      <c r="J727" s="113">
        <f t="shared" si="61"/>
        <v>0</v>
      </c>
      <c r="K727" s="78">
        <f>'Пр. 11'!L510+'Пр. 11'!L1179</f>
        <v>51.199999999999996</v>
      </c>
      <c r="L727" s="78">
        <f>'Пр. 11'!M510+'Пр. 11'!M1179</f>
        <v>56.199999999999996</v>
      </c>
    </row>
    <row r="728" spans="1:12" ht="21.75" customHeight="1" hidden="1">
      <c r="A728" s="114" t="s">
        <v>56</v>
      </c>
      <c r="B728" s="112" t="s">
        <v>408</v>
      </c>
      <c r="C728" s="129">
        <v>3</v>
      </c>
      <c r="D728" s="111" t="s">
        <v>153</v>
      </c>
      <c r="E728" s="112" t="s">
        <v>412</v>
      </c>
      <c r="F728" s="129">
        <v>800</v>
      </c>
      <c r="G728" s="112" t="s">
        <v>57</v>
      </c>
      <c r="H728" s="78">
        <f>'Пр. 11'!I706</f>
        <v>0</v>
      </c>
      <c r="I728" s="78">
        <f>'Пр. 11'!J706</f>
        <v>0</v>
      </c>
      <c r="J728" s="113">
        <f t="shared" si="61"/>
        <v>0</v>
      </c>
      <c r="K728" s="78">
        <f>'Пр. 11'!L706</f>
        <v>0</v>
      </c>
      <c r="L728" s="78">
        <f>'Пр. 11'!M706</f>
        <v>0</v>
      </c>
    </row>
    <row r="729" spans="1:12" ht="24" customHeight="1">
      <c r="A729" s="114" t="s">
        <v>100</v>
      </c>
      <c r="B729" s="112" t="s">
        <v>408</v>
      </c>
      <c r="C729" s="129">
        <v>3</v>
      </c>
      <c r="D729" s="111" t="s">
        <v>153</v>
      </c>
      <c r="E729" s="112" t="s">
        <v>412</v>
      </c>
      <c r="F729" s="129">
        <v>800</v>
      </c>
      <c r="G729" s="112" t="s">
        <v>101</v>
      </c>
      <c r="H729" s="78">
        <f>'Пр. 11'!I856</f>
        <v>10</v>
      </c>
      <c r="I729" s="78">
        <f>'Пр. 11'!J856</f>
        <v>10</v>
      </c>
      <c r="J729" s="113">
        <f t="shared" si="61"/>
        <v>0</v>
      </c>
      <c r="K729" s="78">
        <f>'Пр. 11'!L856</f>
        <v>10</v>
      </c>
      <c r="L729" s="78">
        <f>'Пр. 11'!M856</f>
        <v>10</v>
      </c>
    </row>
    <row r="730" spans="1:12" ht="38.25" customHeight="1">
      <c r="A730" s="114" t="s">
        <v>416</v>
      </c>
      <c r="B730" s="112" t="s">
        <v>408</v>
      </c>
      <c r="C730" s="129">
        <v>3</v>
      </c>
      <c r="D730" s="111" t="s">
        <v>153</v>
      </c>
      <c r="E730" s="112" t="s">
        <v>417</v>
      </c>
      <c r="F730" s="129"/>
      <c r="G730" s="112"/>
      <c r="H730" s="78">
        <f>H731</f>
        <v>2340.6</v>
      </c>
      <c r="I730" s="78">
        <f>I731</f>
        <v>2340.6</v>
      </c>
      <c r="J730" s="113">
        <f t="shared" si="61"/>
        <v>0</v>
      </c>
      <c r="K730" s="78">
        <f>K731</f>
        <v>0</v>
      </c>
      <c r="L730" s="78">
        <f>L731</f>
        <v>0</v>
      </c>
    </row>
    <row r="731" spans="1:12" ht="63.75" customHeight="1">
      <c r="A731" s="114" t="s">
        <v>755</v>
      </c>
      <c r="B731" s="112" t="s">
        <v>408</v>
      </c>
      <c r="C731" s="129">
        <v>3</v>
      </c>
      <c r="D731" s="111" t="s">
        <v>153</v>
      </c>
      <c r="E731" s="112" t="s">
        <v>417</v>
      </c>
      <c r="F731" s="129">
        <v>100</v>
      </c>
      <c r="G731" s="112"/>
      <c r="H731" s="78">
        <f>H732</f>
        <v>2340.6</v>
      </c>
      <c r="I731" s="78">
        <f>I732</f>
        <v>2340.6</v>
      </c>
      <c r="J731" s="113">
        <f t="shared" si="61"/>
        <v>0</v>
      </c>
      <c r="K731" s="78">
        <f>K732</f>
        <v>0</v>
      </c>
      <c r="L731" s="78">
        <f>L732</f>
        <v>0</v>
      </c>
    </row>
    <row r="732" spans="1:12" ht="39" customHeight="1">
      <c r="A732" s="114" t="s">
        <v>52</v>
      </c>
      <c r="B732" s="112" t="s">
        <v>408</v>
      </c>
      <c r="C732" s="129">
        <v>3</v>
      </c>
      <c r="D732" s="111" t="s">
        <v>153</v>
      </c>
      <c r="E732" s="112" t="s">
        <v>417</v>
      </c>
      <c r="F732" s="129">
        <v>100</v>
      </c>
      <c r="G732" s="112" t="s">
        <v>53</v>
      </c>
      <c r="H732" s="78">
        <f>'Пр. 11'!I512</f>
        <v>2340.6</v>
      </c>
      <c r="I732" s="78">
        <f>'Пр. 11'!J512</f>
        <v>2340.6</v>
      </c>
      <c r="J732" s="113">
        <f t="shared" si="61"/>
        <v>0</v>
      </c>
      <c r="K732" s="78">
        <f>'Пр. 11'!L512</f>
        <v>0</v>
      </c>
      <c r="L732" s="78">
        <f>'Пр. 11'!M512</f>
        <v>0</v>
      </c>
    </row>
    <row r="733" spans="1:12" ht="42.75" customHeight="1" hidden="1">
      <c r="A733" s="114" t="s">
        <v>418</v>
      </c>
      <c r="B733" s="112" t="s">
        <v>408</v>
      </c>
      <c r="C733" s="129">
        <v>3</v>
      </c>
      <c r="D733" s="111" t="s">
        <v>153</v>
      </c>
      <c r="E733" s="112" t="s">
        <v>419</v>
      </c>
      <c r="F733" s="129"/>
      <c r="G733" s="112"/>
      <c r="H733" s="78">
        <f>H734</f>
        <v>0</v>
      </c>
      <c r="I733" s="78">
        <f>I734</f>
        <v>0</v>
      </c>
      <c r="J733" s="113">
        <f t="shared" si="61"/>
        <v>0</v>
      </c>
      <c r="K733" s="78">
        <f>K734</f>
        <v>0</v>
      </c>
      <c r="L733" s="78">
        <f>L734</f>
        <v>0</v>
      </c>
    </row>
    <row r="734" spans="1:12" ht="66.75" customHeight="1" hidden="1">
      <c r="A734" s="114" t="s">
        <v>755</v>
      </c>
      <c r="B734" s="112" t="s">
        <v>408</v>
      </c>
      <c r="C734" s="129">
        <v>3</v>
      </c>
      <c r="D734" s="111" t="s">
        <v>153</v>
      </c>
      <c r="E734" s="112" t="s">
        <v>419</v>
      </c>
      <c r="F734" s="129">
        <v>100</v>
      </c>
      <c r="G734" s="112"/>
      <c r="H734" s="78">
        <f>H735</f>
        <v>0</v>
      </c>
      <c r="I734" s="78">
        <f>I735</f>
        <v>0</v>
      </c>
      <c r="J734" s="113">
        <f t="shared" si="61"/>
        <v>0</v>
      </c>
      <c r="K734" s="78">
        <f>K735</f>
        <v>0</v>
      </c>
      <c r="L734" s="78">
        <f>L735</f>
        <v>0</v>
      </c>
    </row>
    <row r="735" spans="1:12" ht="53.25" customHeight="1" hidden="1">
      <c r="A735" s="114" t="s">
        <v>414</v>
      </c>
      <c r="B735" s="112" t="s">
        <v>408</v>
      </c>
      <c r="C735" s="129">
        <v>3</v>
      </c>
      <c r="D735" s="111" t="s">
        <v>153</v>
      </c>
      <c r="E735" s="112" t="s">
        <v>419</v>
      </c>
      <c r="F735" s="129">
        <v>100</v>
      </c>
      <c r="G735" s="112" t="s">
        <v>49</v>
      </c>
      <c r="H735" s="78">
        <f>'Пр. 11'!I53</f>
        <v>0</v>
      </c>
      <c r="I735" s="78">
        <f>'Пр. 11'!J53</f>
        <v>0</v>
      </c>
      <c r="J735" s="113">
        <f t="shared" si="61"/>
        <v>0</v>
      </c>
      <c r="K735" s="78">
        <f>'Пр. 11'!L53</f>
        <v>0</v>
      </c>
      <c r="L735" s="78">
        <f>'Пр. 11'!M53</f>
        <v>0</v>
      </c>
    </row>
    <row r="736" spans="1:12" ht="52.5" customHeight="1">
      <c r="A736" s="114" t="s">
        <v>420</v>
      </c>
      <c r="B736" s="112" t="s">
        <v>408</v>
      </c>
      <c r="C736" s="129">
        <v>3</v>
      </c>
      <c r="D736" s="111" t="s">
        <v>153</v>
      </c>
      <c r="E736" s="112" t="s">
        <v>421</v>
      </c>
      <c r="F736" s="129"/>
      <c r="G736" s="112"/>
      <c r="H736" s="78">
        <f>H737</f>
        <v>472.6</v>
      </c>
      <c r="I736" s="78">
        <f>I737</f>
        <v>472.6</v>
      </c>
      <c r="J736" s="113">
        <f t="shared" si="61"/>
        <v>0</v>
      </c>
      <c r="K736" s="78">
        <f>K737</f>
        <v>0</v>
      </c>
      <c r="L736" s="78">
        <f>L737</f>
        <v>0</v>
      </c>
    </row>
    <row r="737" spans="1:12" ht="63" customHeight="1">
      <c r="A737" s="114" t="s">
        <v>755</v>
      </c>
      <c r="B737" s="112" t="s">
        <v>408</v>
      </c>
      <c r="C737" s="129">
        <v>3</v>
      </c>
      <c r="D737" s="111" t="s">
        <v>153</v>
      </c>
      <c r="E737" s="112" t="s">
        <v>421</v>
      </c>
      <c r="F737" s="129">
        <v>100</v>
      </c>
      <c r="G737" s="112"/>
      <c r="H737" s="78">
        <f>H738</f>
        <v>472.6</v>
      </c>
      <c r="I737" s="78">
        <f>I738</f>
        <v>472.6</v>
      </c>
      <c r="J737" s="113">
        <f t="shared" si="61"/>
        <v>0</v>
      </c>
      <c r="K737" s="78">
        <f>K738</f>
        <v>0</v>
      </c>
      <c r="L737" s="78">
        <f>L738</f>
        <v>0</v>
      </c>
    </row>
    <row r="738" spans="1:12" ht="37.5" customHeight="1">
      <c r="A738" s="114" t="s">
        <v>52</v>
      </c>
      <c r="B738" s="112" t="s">
        <v>408</v>
      </c>
      <c r="C738" s="129">
        <v>3</v>
      </c>
      <c r="D738" s="111" t="s">
        <v>153</v>
      </c>
      <c r="E738" s="112" t="s">
        <v>421</v>
      </c>
      <c r="F738" s="129">
        <v>100</v>
      </c>
      <c r="G738" s="112" t="s">
        <v>53</v>
      </c>
      <c r="H738" s="78">
        <f>'Пр. 11'!I1181</f>
        <v>472.6</v>
      </c>
      <c r="I738" s="78">
        <f>'Пр. 11'!J1181</f>
        <v>472.6</v>
      </c>
      <c r="J738" s="113">
        <f t="shared" si="61"/>
        <v>0</v>
      </c>
      <c r="K738" s="78">
        <f>'Пр. 11'!L1181</f>
        <v>0</v>
      </c>
      <c r="L738" s="78">
        <f>'Пр. 11'!M1181</f>
        <v>0</v>
      </c>
    </row>
    <row r="739" spans="1:12" ht="90" customHeight="1">
      <c r="A739" s="114" t="s">
        <v>422</v>
      </c>
      <c r="B739" s="112" t="s">
        <v>408</v>
      </c>
      <c r="C739" s="129">
        <v>3</v>
      </c>
      <c r="D739" s="111" t="s">
        <v>153</v>
      </c>
      <c r="E739" s="112" t="s">
        <v>423</v>
      </c>
      <c r="F739" s="129"/>
      <c r="G739" s="112"/>
      <c r="H739" s="78">
        <f>H740+H742</f>
        <v>6622.6</v>
      </c>
      <c r="I739" s="78">
        <f>I740+I742</f>
        <v>6673</v>
      </c>
      <c r="J739" s="113">
        <f t="shared" si="61"/>
        <v>50.399999999999636</v>
      </c>
      <c r="K739" s="78">
        <f>K740+K742</f>
        <v>6073.2</v>
      </c>
      <c r="L739" s="78">
        <f>L740+L742</f>
        <v>4669</v>
      </c>
    </row>
    <row r="740" spans="1:12" ht="62.25" customHeight="1">
      <c r="A740" s="114" t="s">
        <v>755</v>
      </c>
      <c r="B740" s="112" t="s">
        <v>408</v>
      </c>
      <c r="C740" s="129">
        <v>3</v>
      </c>
      <c r="D740" s="111" t="s">
        <v>153</v>
      </c>
      <c r="E740" s="112" t="s">
        <v>423</v>
      </c>
      <c r="F740" s="129">
        <v>100</v>
      </c>
      <c r="G740" s="112"/>
      <c r="H740" s="78">
        <f>H741</f>
        <v>4330.6</v>
      </c>
      <c r="I740" s="78">
        <f>I741</f>
        <v>4381</v>
      </c>
      <c r="J740" s="113">
        <f t="shared" si="61"/>
        <v>50.399999999999636</v>
      </c>
      <c r="K740" s="78">
        <f>K741</f>
        <v>6073.2</v>
      </c>
      <c r="L740" s="78">
        <f>L741</f>
        <v>4669</v>
      </c>
    </row>
    <row r="741" spans="1:12" ht="21" customHeight="1">
      <c r="A741" s="114" t="s">
        <v>56</v>
      </c>
      <c r="B741" s="112" t="s">
        <v>408</v>
      </c>
      <c r="C741" s="129">
        <v>3</v>
      </c>
      <c r="D741" s="111" t="s">
        <v>153</v>
      </c>
      <c r="E741" s="112" t="s">
        <v>423</v>
      </c>
      <c r="F741" s="129">
        <v>100</v>
      </c>
      <c r="G741" s="112" t="s">
        <v>57</v>
      </c>
      <c r="H741" s="78">
        <f>'Пр. 11'!I114</f>
        <v>4330.6</v>
      </c>
      <c r="I741" s="78">
        <f>'Пр. 11'!J114</f>
        <v>4381</v>
      </c>
      <c r="J741" s="113">
        <f t="shared" si="61"/>
        <v>50.399999999999636</v>
      </c>
      <c r="K741" s="78">
        <f>'Пр. 11'!L114</f>
        <v>6073.2</v>
      </c>
      <c r="L741" s="78">
        <f>'Пр. 11'!M114</f>
        <v>4669</v>
      </c>
    </row>
    <row r="742" spans="1:12" ht="35.25" customHeight="1">
      <c r="A742" s="114" t="s">
        <v>758</v>
      </c>
      <c r="B742" s="112" t="s">
        <v>408</v>
      </c>
      <c r="C742" s="129">
        <v>3</v>
      </c>
      <c r="D742" s="111" t="s">
        <v>153</v>
      </c>
      <c r="E742" s="112" t="s">
        <v>423</v>
      </c>
      <c r="F742" s="129">
        <v>200</v>
      </c>
      <c r="G742" s="112"/>
      <c r="H742" s="78">
        <f>H743</f>
        <v>2292</v>
      </c>
      <c r="I742" s="78">
        <f>I743</f>
        <v>2292</v>
      </c>
      <c r="J742" s="113">
        <f t="shared" si="61"/>
        <v>0</v>
      </c>
      <c r="K742" s="78">
        <f>K743</f>
        <v>0</v>
      </c>
      <c r="L742" s="78">
        <f>L743</f>
        <v>0</v>
      </c>
    </row>
    <row r="743" spans="1:12" ht="16.5" customHeight="1">
      <c r="A743" s="114" t="s">
        <v>56</v>
      </c>
      <c r="B743" s="112" t="s">
        <v>408</v>
      </c>
      <c r="C743" s="129">
        <v>3</v>
      </c>
      <c r="D743" s="111" t="s">
        <v>153</v>
      </c>
      <c r="E743" s="112" t="s">
        <v>423</v>
      </c>
      <c r="F743" s="129">
        <v>200</v>
      </c>
      <c r="G743" s="112" t="s">
        <v>57</v>
      </c>
      <c r="H743" s="78">
        <f>'Пр. 11'!I115</f>
        <v>2292</v>
      </c>
      <c r="I743" s="78">
        <f>'Пр. 11'!J115</f>
        <v>2292</v>
      </c>
      <c r="J743" s="113">
        <f t="shared" si="61"/>
        <v>0</v>
      </c>
      <c r="K743" s="78">
        <f>'Пр. 11'!L115</f>
        <v>0</v>
      </c>
      <c r="L743" s="78">
        <f>'Пр. 11'!M115</f>
        <v>0</v>
      </c>
    </row>
    <row r="744" spans="1:12" ht="49.5" customHeight="1">
      <c r="A744" s="123" t="s">
        <v>1168</v>
      </c>
      <c r="B744" s="112" t="s">
        <v>408</v>
      </c>
      <c r="C744" s="112" t="s">
        <v>139</v>
      </c>
      <c r="D744" s="112" t="s">
        <v>153</v>
      </c>
      <c r="E744" s="112" t="s">
        <v>1169</v>
      </c>
      <c r="F744" s="111"/>
      <c r="G744" s="112"/>
      <c r="H744" s="78">
        <f>H745</f>
        <v>4002.7000000000003</v>
      </c>
      <c r="I744" s="78">
        <f>I745</f>
        <v>4002.7000000000003</v>
      </c>
      <c r="J744" s="113">
        <f t="shared" si="61"/>
        <v>0</v>
      </c>
      <c r="K744" s="78">
        <f>K745</f>
        <v>0</v>
      </c>
      <c r="L744" s="78">
        <f>L745</f>
        <v>0</v>
      </c>
    </row>
    <row r="745" spans="1:12" ht="33.75" customHeight="1">
      <c r="A745" s="123" t="s">
        <v>758</v>
      </c>
      <c r="B745" s="112" t="s">
        <v>408</v>
      </c>
      <c r="C745" s="112" t="s">
        <v>139</v>
      </c>
      <c r="D745" s="112" t="s">
        <v>153</v>
      </c>
      <c r="E745" s="112" t="s">
        <v>1169</v>
      </c>
      <c r="F745" s="129">
        <v>200</v>
      </c>
      <c r="G745" s="112"/>
      <c r="H745" s="78">
        <f>H746+H747+H748+H749</f>
        <v>4002.7000000000003</v>
      </c>
      <c r="I745" s="78">
        <f>I746+I747+I748+I749</f>
        <v>4002.7000000000003</v>
      </c>
      <c r="J745" s="113">
        <f t="shared" si="61"/>
        <v>0</v>
      </c>
      <c r="K745" s="78">
        <f>K746+K747+K748+K749</f>
        <v>0</v>
      </c>
      <c r="L745" s="78">
        <f>L746+L747+L748+L749</f>
        <v>0</v>
      </c>
    </row>
    <row r="746" spans="1:12" ht="54.75" customHeight="1">
      <c r="A746" s="114" t="s">
        <v>414</v>
      </c>
      <c r="B746" s="112" t="s">
        <v>408</v>
      </c>
      <c r="C746" s="112" t="s">
        <v>139</v>
      </c>
      <c r="D746" s="112" t="s">
        <v>153</v>
      </c>
      <c r="E746" s="112" t="s">
        <v>1169</v>
      </c>
      <c r="F746" s="129">
        <v>200</v>
      </c>
      <c r="G746" s="112" t="s">
        <v>49</v>
      </c>
      <c r="H746" s="78">
        <f>'Пр. 11'!I55</f>
        <v>2473.6</v>
      </c>
      <c r="I746" s="78">
        <f>'Пр. 11'!J55</f>
        <v>2473.6</v>
      </c>
      <c r="J746" s="113">
        <f t="shared" si="61"/>
        <v>0</v>
      </c>
      <c r="K746" s="78">
        <f>'Пр. 11'!L55</f>
        <v>0</v>
      </c>
      <c r="L746" s="78">
        <f>'Пр. 11'!M55</f>
        <v>0</v>
      </c>
    </row>
    <row r="747" spans="1:12" ht="36.75" customHeight="1">
      <c r="A747" s="114" t="s">
        <v>52</v>
      </c>
      <c r="B747" s="112" t="s">
        <v>408</v>
      </c>
      <c r="C747" s="112" t="s">
        <v>139</v>
      </c>
      <c r="D747" s="112" t="s">
        <v>153</v>
      </c>
      <c r="E747" s="112" t="s">
        <v>1169</v>
      </c>
      <c r="F747" s="129">
        <v>200</v>
      </c>
      <c r="G747" s="112" t="s">
        <v>53</v>
      </c>
      <c r="H747" s="78">
        <f>'Пр. 11'!I514</f>
        <v>1306</v>
      </c>
      <c r="I747" s="78">
        <f>'Пр. 11'!J514</f>
        <v>1306</v>
      </c>
      <c r="J747" s="113">
        <f t="shared" si="61"/>
        <v>0</v>
      </c>
      <c r="K747" s="78">
        <f>'Пр. 11'!L514</f>
        <v>0</v>
      </c>
      <c r="L747" s="78">
        <f>'Пр. 11'!M514</f>
        <v>0</v>
      </c>
    </row>
    <row r="748" spans="1:12" ht="21.75" customHeight="1">
      <c r="A748" s="114" t="s">
        <v>56</v>
      </c>
      <c r="B748" s="112" t="s">
        <v>408</v>
      </c>
      <c r="C748" s="112" t="s">
        <v>139</v>
      </c>
      <c r="D748" s="112" t="s">
        <v>153</v>
      </c>
      <c r="E748" s="112" t="s">
        <v>1169</v>
      </c>
      <c r="F748" s="129">
        <v>200</v>
      </c>
      <c r="G748" s="112" t="s">
        <v>57</v>
      </c>
      <c r="H748" s="78">
        <f>'Пр. 11'!I708</f>
        <v>196.8</v>
      </c>
      <c r="I748" s="78">
        <f>'Пр. 11'!J708</f>
        <v>196.8</v>
      </c>
      <c r="J748" s="113">
        <f t="shared" si="61"/>
        <v>0</v>
      </c>
      <c r="K748" s="78">
        <f>'Пр. 11'!L708</f>
        <v>0</v>
      </c>
      <c r="L748" s="78">
        <f>'Пр. 11'!M708</f>
        <v>0</v>
      </c>
    </row>
    <row r="749" spans="1:12" ht="21.75" customHeight="1">
      <c r="A749" s="92" t="s">
        <v>100</v>
      </c>
      <c r="B749" s="112" t="s">
        <v>408</v>
      </c>
      <c r="C749" s="112" t="s">
        <v>139</v>
      </c>
      <c r="D749" s="112" t="s">
        <v>153</v>
      </c>
      <c r="E749" s="112" t="s">
        <v>1169</v>
      </c>
      <c r="F749" s="129">
        <v>200</v>
      </c>
      <c r="G749" s="112" t="s">
        <v>101</v>
      </c>
      <c r="H749" s="78">
        <f>'Пр. 11'!I858</f>
        <v>26.3</v>
      </c>
      <c r="I749" s="78">
        <f>'Пр. 11'!J858</f>
        <v>26.3</v>
      </c>
      <c r="J749" s="113">
        <f t="shared" si="61"/>
        <v>0</v>
      </c>
      <c r="K749" s="78">
        <f>'Пр. 11'!L858</f>
        <v>0</v>
      </c>
      <c r="L749" s="78">
        <f>'Пр. 11'!M858</f>
        <v>0</v>
      </c>
    </row>
    <row r="750" spans="1:12" ht="59.25" customHeight="1" hidden="1">
      <c r="A750" s="114" t="s">
        <v>185</v>
      </c>
      <c r="B750" s="112" t="s">
        <v>408</v>
      </c>
      <c r="C750" s="129">
        <v>3</v>
      </c>
      <c r="D750" s="111" t="s">
        <v>153</v>
      </c>
      <c r="E750" s="112" t="s">
        <v>186</v>
      </c>
      <c r="F750" s="129"/>
      <c r="G750" s="112"/>
      <c r="H750" s="78">
        <f>H751</f>
        <v>0</v>
      </c>
      <c r="I750" s="78">
        <f>I751</f>
        <v>0</v>
      </c>
      <c r="J750" s="113">
        <f t="shared" si="61"/>
        <v>0</v>
      </c>
      <c r="K750" s="78">
        <f>K751</f>
        <v>0</v>
      </c>
      <c r="L750" s="78">
        <f>L751</f>
        <v>0</v>
      </c>
    </row>
    <row r="751" spans="1:12" ht="55.5" customHeight="1" hidden="1">
      <c r="A751" s="114" t="s">
        <v>755</v>
      </c>
      <c r="B751" s="112" t="s">
        <v>408</v>
      </c>
      <c r="C751" s="129">
        <v>3</v>
      </c>
      <c r="D751" s="111" t="s">
        <v>153</v>
      </c>
      <c r="E751" s="112" t="s">
        <v>186</v>
      </c>
      <c r="F751" s="129">
        <v>100</v>
      </c>
      <c r="G751" s="112"/>
      <c r="H751" s="78">
        <f>H752</f>
        <v>0</v>
      </c>
      <c r="I751" s="78">
        <f>I752</f>
        <v>0</v>
      </c>
      <c r="J751" s="113">
        <f t="shared" si="61"/>
        <v>0</v>
      </c>
      <c r="K751" s="78">
        <f>K752</f>
        <v>0</v>
      </c>
      <c r="L751" s="78">
        <f>L752</f>
        <v>0</v>
      </c>
    </row>
    <row r="752" spans="1:12" ht="33.75" customHeight="1" hidden="1">
      <c r="A752" s="114" t="s">
        <v>52</v>
      </c>
      <c r="B752" s="112" t="s">
        <v>408</v>
      </c>
      <c r="C752" s="129">
        <v>3</v>
      </c>
      <c r="D752" s="111" t="s">
        <v>153</v>
      </c>
      <c r="E752" s="112" t="s">
        <v>186</v>
      </c>
      <c r="F752" s="129">
        <v>100</v>
      </c>
      <c r="G752" s="112" t="s">
        <v>53</v>
      </c>
      <c r="H752" s="78">
        <f>'Пр. 11'!I516</f>
        <v>0</v>
      </c>
      <c r="I752" s="78">
        <f>'Пр. 11'!J516</f>
        <v>0</v>
      </c>
      <c r="J752" s="113">
        <f t="shared" si="61"/>
        <v>0</v>
      </c>
      <c r="K752" s="78">
        <f>'Пр. 11'!L516</f>
        <v>0</v>
      </c>
      <c r="L752" s="78">
        <f>'Пр. 11'!M516</f>
        <v>0</v>
      </c>
    </row>
    <row r="753" spans="1:12" ht="28.5" customHeight="1">
      <c r="A753" s="123" t="s">
        <v>336</v>
      </c>
      <c r="B753" s="112" t="s">
        <v>408</v>
      </c>
      <c r="C753" s="112" t="s">
        <v>139</v>
      </c>
      <c r="D753" s="112" t="s">
        <v>153</v>
      </c>
      <c r="E753" s="112" t="s">
        <v>337</v>
      </c>
      <c r="F753" s="111"/>
      <c r="G753" s="112"/>
      <c r="H753" s="78">
        <f>H754+H756+H758</f>
        <v>6536.1</v>
      </c>
      <c r="I753" s="78">
        <f>I754+I756+I758</f>
        <v>6536.1</v>
      </c>
      <c r="J753" s="113">
        <f t="shared" si="61"/>
        <v>0</v>
      </c>
      <c r="K753" s="78">
        <f>K754+K756+K758</f>
        <v>6536.1</v>
      </c>
      <c r="L753" s="78">
        <f>L754+L756+L758</f>
        <v>6536.1</v>
      </c>
    </row>
    <row r="754" spans="1:12" ht="66" customHeight="1">
      <c r="A754" s="123" t="s">
        <v>755</v>
      </c>
      <c r="B754" s="112" t="s">
        <v>408</v>
      </c>
      <c r="C754" s="112" t="s">
        <v>139</v>
      </c>
      <c r="D754" s="112" t="s">
        <v>153</v>
      </c>
      <c r="E754" s="112" t="s">
        <v>337</v>
      </c>
      <c r="F754" s="111" t="s">
        <v>756</v>
      </c>
      <c r="G754" s="112"/>
      <c r="H754" s="78">
        <f>H755</f>
        <v>6349.1</v>
      </c>
      <c r="I754" s="78">
        <f>I755</f>
        <v>6349.1</v>
      </c>
      <c r="J754" s="113">
        <f t="shared" si="61"/>
        <v>0</v>
      </c>
      <c r="K754" s="78">
        <f>K755</f>
        <v>6349.1</v>
      </c>
      <c r="L754" s="78">
        <f>L755</f>
        <v>6349.1</v>
      </c>
    </row>
    <row r="755" spans="1:12" ht="51.75" customHeight="1">
      <c r="A755" s="114" t="s">
        <v>48</v>
      </c>
      <c r="B755" s="112" t="s">
        <v>408</v>
      </c>
      <c r="C755" s="112" t="s">
        <v>139</v>
      </c>
      <c r="D755" s="112" t="s">
        <v>153</v>
      </c>
      <c r="E755" s="112" t="s">
        <v>337</v>
      </c>
      <c r="F755" s="111" t="s">
        <v>756</v>
      </c>
      <c r="G755" s="112" t="s">
        <v>49</v>
      </c>
      <c r="H755" s="78">
        <f>'Пр. 11'!I57</f>
        <v>6349.1</v>
      </c>
      <c r="I755" s="78">
        <f>'Пр. 11'!J57</f>
        <v>6349.1</v>
      </c>
      <c r="J755" s="113">
        <f t="shared" si="61"/>
        <v>0</v>
      </c>
      <c r="K755" s="78">
        <f>'Пр. 11'!L57</f>
        <v>6349.1</v>
      </c>
      <c r="L755" s="78">
        <f>'Пр. 11'!M57</f>
        <v>6349.1</v>
      </c>
    </row>
    <row r="756" spans="1:12" ht="33" customHeight="1">
      <c r="A756" s="123" t="s">
        <v>758</v>
      </c>
      <c r="B756" s="112" t="s">
        <v>408</v>
      </c>
      <c r="C756" s="112" t="s">
        <v>139</v>
      </c>
      <c r="D756" s="112" t="s">
        <v>153</v>
      </c>
      <c r="E756" s="112" t="s">
        <v>337</v>
      </c>
      <c r="F756" s="111" t="s">
        <v>757</v>
      </c>
      <c r="G756" s="112"/>
      <c r="H756" s="78">
        <f>H757</f>
        <v>187</v>
      </c>
      <c r="I756" s="78">
        <f>I757</f>
        <v>187</v>
      </c>
      <c r="J756" s="113">
        <f t="shared" si="61"/>
        <v>0</v>
      </c>
      <c r="K756" s="78">
        <f>K757</f>
        <v>187</v>
      </c>
      <c r="L756" s="78">
        <f>L757</f>
        <v>187</v>
      </c>
    </row>
    <row r="757" spans="1:12" ht="54.75" customHeight="1">
      <c r="A757" s="114" t="s">
        <v>48</v>
      </c>
      <c r="B757" s="112" t="s">
        <v>408</v>
      </c>
      <c r="C757" s="112" t="s">
        <v>139</v>
      </c>
      <c r="D757" s="112" t="s">
        <v>153</v>
      </c>
      <c r="E757" s="112" t="s">
        <v>337</v>
      </c>
      <c r="F757" s="111" t="s">
        <v>757</v>
      </c>
      <c r="G757" s="112" t="s">
        <v>49</v>
      </c>
      <c r="H757" s="78">
        <f>'Пр. 11'!I58</f>
        <v>187</v>
      </c>
      <c r="I757" s="78">
        <f>'Пр. 11'!J58</f>
        <v>187</v>
      </c>
      <c r="J757" s="113">
        <f t="shared" si="61"/>
        <v>0</v>
      </c>
      <c r="K757" s="78">
        <f>'Пр. 11'!L58</f>
        <v>187</v>
      </c>
      <c r="L757" s="78">
        <f>'Пр. 11'!M58</f>
        <v>187</v>
      </c>
    </row>
    <row r="758" spans="1:12" ht="23.25" customHeight="1" hidden="1">
      <c r="A758" s="123" t="s">
        <v>759</v>
      </c>
      <c r="B758" s="112" t="s">
        <v>408</v>
      </c>
      <c r="C758" s="112" t="s">
        <v>139</v>
      </c>
      <c r="D758" s="112" t="s">
        <v>153</v>
      </c>
      <c r="E758" s="112" t="s">
        <v>337</v>
      </c>
      <c r="F758" s="111" t="s">
        <v>760</v>
      </c>
      <c r="G758" s="112"/>
      <c r="H758" s="78">
        <f>H759</f>
        <v>0</v>
      </c>
      <c r="I758" s="78">
        <f>I759</f>
        <v>0</v>
      </c>
      <c r="J758" s="113">
        <f t="shared" si="61"/>
        <v>0</v>
      </c>
      <c r="K758" s="78">
        <f>K759</f>
        <v>0</v>
      </c>
      <c r="L758" s="78">
        <f>L759</f>
        <v>0</v>
      </c>
    </row>
    <row r="759" spans="1:12" ht="48.75" customHeight="1" hidden="1">
      <c r="A759" s="114" t="s">
        <v>48</v>
      </c>
      <c r="B759" s="112" t="s">
        <v>408</v>
      </c>
      <c r="C759" s="112" t="s">
        <v>139</v>
      </c>
      <c r="D759" s="112" t="s">
        <v>153</v>
      </c>
      <c r="E759" s="112" t="s">
        <v>337</v>
      </c>
      <c r="F759" s="111" t="s">
        <v>760</v>
      </c>
      <c r="G759" s="112" t="s">
        <v>49</v>
      </c>
      <c r="H759" s="78">
        <f>'Пр. 11'!I59</f>
        <v>0</v>
      </c>
      <c r="I759" s="78">
        <f>'Пр. 11'!J59</f>
        <v>0</v>
      </c>
      <c r="J759" s="113">
        <f t="shared" si="61"/>
        <v>0</v>
      </c>
      <c r="K759" s="78">
        <f>'Пр. 11'!L59</f>
        <v>0</v>
      </c>
      <c r="L759" s="78">
        <f>'Пр. 11'!M59</f>
        <v>0</v>
      </c>
    </row>
    <row r="760" spans="1:12" ht="24" customHeight="1">
      <c r="A760" s="114" t="s">
        <v>424</v>
      </c>
      <c r="B760" s="112" t="s">
        <v>408</v>
      </c>
      <c r="C760" s="129">
        <v>3</v>
      </c>
      <c r="D760" s="111" t="s">
        <v>153</v>
      </c>
      <c r="E760" s="112" t="s">
        <v>425</v>
      </c>
      <c r="F760" s="129"/>
      <c r="G760" s="112"/>
      <c r="H760" s="78">
        <f>H761</f>
        <v>606.6</v>
      </c>
      <c r="I760" s="78">
        <f>I761</f>
        <v>606.6</v>
      </c>
      <c r="J760" s="113">
        <f t="shared" si="61"/>
        <v>0</v>
      </c>
      <c r="K760" s="78">
        <f>K761</f>
        <v>606.6</v>
      </c>
      <c r="L760" s="78">
        <f>L761</f>
        <v>606.6</v>
      </c>
    </row>
    <row r="761" spans="1:12" ht="64.5" customHeight="1">
      <c r="A761" s="114" t="s">
        <v>755</v>
      </c>
      <c r="B761" s="112" t="s">
        <v>408</v>
      </c>
      <c r="C761" s="129">
        <v>3</v>
      </c>
      <c r="D761" s="111" t="s">
        <v>153</v>
      </c>
      <c r="E761" s="112" t="s">
        <v>425</v>
      </c>
      <c r="F761" s="129">
        <v>100</v>
      </c>
      <c r="G761" s="112"/>
      <c r="H761" s="78">
        <f>H762</f>
        <v>606.6</v>
      </c>
      <c r="I761" s="78">
        <f>I762</f>
        <v>606.6</v>
      </c>
      <c r="J761" s="113">
        <f t="shared" si="61"/>
        <v>0</v>
      </c>
      <c r="K761" s="78">
        <f>K762</f>
        <v>606.6</v>
      </c>
      <c r="L761" s="78">
        <f>L762</f>
        <v>606.6</v>
      </c>
    </row>
    <row r="762" spans="1:12" ht="57" customHeight="1">
      <c r="A762" s="114" t="s">
        <v>48</v>
      </c>
      <c r="B762" s="112" t="s">
        <v>408</v>
      </c>
      <c r="C762" s="129">
        <v>3</v>
      </c>
      <c r="D762" s="111" t="s">
        <v>153</v>
      </c>
      <c r="E762" s="112" t="s">
        <v>425</v>
      </c>
      <c r="F762" s="129">
        <v>100</v>
      </c>
      <c r="G762" s="112" t="s">
        <v>49</v>
      </c>
      <c r="H762" s="78">
        <f>'Пр. 11'!I61</f>
        <v>606.6</v>
      </c>
      <c r="I762" s="78">
        <f>'Пр. 11'!J61</f>
        <v>606.6</v>
      </c>
      <c r="J762" s="113">
        <f t="shared" si="61"/>
        <v>0</v>
      </c>
      <c r="K762" s="78">
        <f>'Пр. 11'!L61</f>
        <v>606.6</v>
      </c>
      <c r="L762" s="78">
        <f>'Пр. 11'!M61</f>
        <v>606.6</v>
      </c>
    </row>
    <row r="763" spans="1:12" ht="39" customHeight="1">
      <c r="A763" s="114" t="s">
        <v>426</v>
      </c>
      <c r="B763" s="112" t="s">
        <v>408</v>
      </c>
      <c r="C763" s="129">
        <v>3</v>
      </c>
      <c r="D763" s="111" t="s">
        <v>153</v>
      </c>
      <c r="E763" s="112" t="s">
        <v>427</v>
      </c>
      <c r="F763" s="140"/>
      <c r="G763" s="112"/>
      <c r="H763" s="78">
        <f>H764+H766</f>
        <v>550.4</v>
      </c>
      <c r="I763" s="78">
        <f>I764+I766</f>
        <v>550.4</v>
      </c>
      <c r="J763" s="113">
        <f t="shared" si="61"/>
        <v>0</v>
      </c>
      <c r="K763" s="78">
        <f>K764+K766</f>
        <v>550.4</v>
      </c>
      <c r="L763" s="78">
        <f>L764+L766</f>
        <v>550.4</v>
      </c>
    </row>
    <row r="764" spans="1:12" ht="68.25" customHeight="1">
      <c r="A764" s="114" t="s">
        <v>755</v>
      </c>
      <c r="B764" s="112" t="s">
        <v>408</v>
      </c>
      <c r="C764" s="129">
        <v>3</v>
      </c>
      <c r="D764" s="111" t="s">
        <v>153</v>
      </c>
      <c r="E764" s="112" t="s">
        <v>427</v>
      </c>
      <c r="F764" s="129">
        <v>100</v>
      </c>
      <c r="G764" s="112"/>
      <c r="H764" s="78">
        <f>H765</f>
        <v>501.3</v>
      </c>
      <c r="I764" s="78">
        <f>I765</f>
        <v>501.3</v>
      </c>
      <c r="J764" s="113">
        <f t="shared" si="61"/>
        <v>0</v>
      </c>
      <c r="K764" s="78">
        <f>K765</f>
        <v>501.3</v>
      </c>
      <c r="L764" s="78">
        <f>L765</f>
        <v>501.3</v>
      </c>
    </row>
    <row r="765" spans="1:12" ht="54" customHeight="1">
      <c r="A765" s="114" t="s">
        <v>414</v>
      </c>
      <c r="B765" s="112" t="s">
        <v>408</v>
      </c>
      <c r="C765" s="129">
        <v>3</v>
      </c>
      <c r="D765" s="111" t="s">
        <v>153</v>
      </c>
      <c r="E765" s="112" t="s">
        <v>427</v>
      </c>
      <c r="F765" s="129">
        <v>100</v>
      </c>
      <c r="G765" s="112" t="s">
        <v>49</v>
      </c>
      <c r="H765" s="78">
        <f>'Пр. 11'!I63</f>
        <v>501.3</v>
      </c>
      <c r="I765" s="78">
        <f>'Пр. 11'!J63</f>
        <v>501.3</v>
      </c>
      <c r="J765" s="113">
        <f t="shared" si="61"/>
        <v>0</v>
      </c>
      <c r="K765" s="78">
        <f>'Пр. 11'!L63</f>
        <v>501.3</v>
      </c>
      <c r="L765" s="78">
        <f>'Пр. 11'!M63</f>
        <v>501.3</v>
      </c>
    </row>
    <row r="766" spans="1:12" ht="33" customHeight="1">
      <c r="A766" s="114" t="s">
        <v>758</v>
      </c>
      <c r="B766" s="112" t="s">
        <v>408</v>
      </c>
      <c r="C766" s="129">
        <v>3</v>
      </c>
      <c r="D766" s="111" t="s">
        <v>153</v>
      </c>
      <c r="E766" s="112" t="s">
        <v>427</v>
      </c>
      <c r="F766" s="111" t="s">
        <v>757</v>
      </c>
      <c r="G766" s="112"/>
      <c r="H766" s="78">
        <f>H767</f>
        <v>49.1</v>
      </c>
      <c r="I766" s="78">
        <f>I767</f>
        <v>49.1</v>
      </c>
      <c r="J766" s="113">
        <f t="shared" si="61"/>
        <v>0</v>
      </c>
      <c r="K766" s="78">
        <f>K767</f>
        <v>49.1</v>
      </c>
      <c r="L766" s="78">
        <f>L767</f>
        <v>49.1</v>
      </c>
    </row>
    <row r="767" spans="1:12" ht="57.75" customHeight="1">
      <c r="A767" s="114" t="s">
        <v>414</v>
      </c>
      <c r="B767" s="112" t="s">
        <v>408</v>
      </c>
      <c r="C767" s="129">
        <v>3</v>
      </c>
      <c r="D767" s="111" t="s">
        <v>153</v>
      </c>
      <c r="E767" s="112" t="s">
        <v>427</v>
      </c>
      <c r="F767" s="111" t="s">
        <v>757</v>
      </c>
      <c r="G767" s="112" t="s">
        <v>49</v>
      </c>
      <c r="H767" s="78">
        <f>'Пр. 11'!I64</f>
        <v>49.1</v>
      </c>
      <c r="I767" s="78">
        <f>'Пр. 11'!J64</f>
        <v>49.1</v>
      </c>
      <c r="J767" s="113">
        <f t="shared" si="61"/>
        <v>0</v>
      </c>
      <c r="K767" s="78">
        <f>'Пр. 11'!L64</f>
        <v>49.1</v>
      </c>
      <c r="L767" s="78">
        <f>'Пр. 11'!M64</f>
        <v>49.1</v>
      </c>
    </row>
    <row r="768" spans="1:12" ht="49.5" customHeight="1" hidden="1">
      <c r="A768" s="114" t="s">
        <v>428</v>
      </c>
      <c r="B768" s="112" t="s">
        <v>408</v>
      </c>
      <c r="C768" s="129">
        <v>3</v>
      </c>
      <c r="D768" s="111" t="s">
        <v>153</v>
      </c>
      <c r="E768" s="112" t="s">
        <v>429</v>
      </c>
      <c r="F768" s="111"/>
      <c r="G768" s="112"/>
      <c r="H768" s="78">
        <f>H769</f>
        <v>0</v>
      </c>
      <c r="I768" s="78">
        <f>I769</f>
        <v>0</v>
      </c>
      <c r="J768" s="113">
        <f t="shared" si="61"/>
        <v>0</v>
      </c>
      <c r="K768" s="78">
        <f>K769</f>
        <v>0</v>
      </c>
      <c r="L768" s="78">
        <f>L769</f>
        <v>0</v>
      </c>
    </row>
    <row r="769" spans="1:12" ht="66.75" customHeight="1" hidden="1">
      <c r="A769" s="114" t="s">
        <v>755</v>
      </c>
      <c r="B769" s="112" t="s">
        <v>408</v>
      </c>
      <c r="C769" s="129">
        <v>3</v>
      </c>
      <c r="D769" s="111" t="s">
        <v>153</v>
      </c>
      <c r="E769" s="112" t="s">
        <v>429</v>
      </c>
      <c r="F769" s="111" t="s">
        <v>756</v>
      </c>
      <c r="G769" s="112"/>
      <c r="H769" s="78">
        <f>H770</f>
        <v>0</v>
      </c>
      <c r="I769" s="78">
        <f>I770</f>
        <v>0</v>
      </c>
      <c r="J769" s="113">
        <f t="shared" si="61"/>
        <v>0</v>
      </c>
      <c r="K769" s="78">
        <f>K770</f>
        <v>0</v>
      </c>
      <c r="L769" s="78">
        <f>L770</f>
        <v>0</v>
      </c>
    </row>
    <row r="770" spans="1:12" ht="22.5" customHeight="1" hidden="1">
      <c r="A770" s="141" t="s">
        <v>56</v>
      </c>
      <c r="B770" s="112" t="s">
        <v>408</v>
      </c>
      <c r="C770" s="129">
        <v>3</v>
      </c>
      <c r="D770" s="111" t="s">
        <v>153</v>
      </c>
      <c r="E770" s="112" t="s">
        <v>429</v>
      </c>
      <c r="F770" s="111" t="s">
        <v>756</v>
      </c>
      <c r="G770" s="112" t="s">
        <v>57</v>
      </c>
      <c r="H770" s="78">
        <f>'Пр. 11'!I710</f>
        <v>0</v>
      </c>
      <c r="I770" s="78">
        <f>'Пр. 11'!J710</f>
        <v>0</v>
      </c>
      <c r="J770" s="113">
        <f t="shared" si="61"/>
        <v>0</v>
      </c>
      <c r="K770" s="78">
        <f>'Пр. 11'!L710</f>
        <v>0</v>
      </c>
      <c r="L770" s="78">
        <f>'Пр. 11'!M710</f>
        <v>0</v>
      </c>
    </row>
    <row r="771" spans="1:12" ht="39" customHeight="1">
      <c r="A771" s="114" t="s">
        <v>430</v>
      </c>
      <c r="B771" s="112" t="s">
        <v>408</v>
      </c>
      <c r="C771" s="129">
        <v>3</v>
      </c>
      <c r="D771" s="111" t="s">
        <v>153</v>
      </c>
      <c r="E771" s="142" t="s">
        <v>431</v>
      </c>
      <c r="F771" s="143"/>
      <c r="G771" s="142"/>
      <c r="H771" s="78">
        <f>H772+H774</f>
        <v>19244.5</v>
      </c>
      <c r="I771" s="78">
        <f>I772+I774</f>
        <v>19244.5</v>
      </c>
      <c r="J771" s="113">
        <f aca="true" t="shared" si="64" ref="J771:J832">I771-H771</f>
        <v>0</v>
      </c>
      <c r="K771" s="78">
        <f>K772+K774</f>
        <v>13029.9</v>
      </c>
      <c r="L771" s="78">
        <f>L772+L774</f>
        <v>12925.800000000001</v>
      </c>
    </row>
    <row r="772" spans="1:12" ht="68.25" customHeight="1">
      <c r="A772" s="114" t="s">
        <v>755</v>
      </c>
      <c r="B772" s="112" t="s">
        <v>408</v>
      </c>
      <c r="C772" s="129">
        <v>3</v>
      </c>
      <c r="D772" s="111" t="s">
        <v>153</v>
      </c>
      <c r="E772" s="142" t="s">
        <v>431</v>
      </c>
      <c r="F772" s="143">
        <v>100</v>
      </c>
      <c r="G772" s="142"/>
      <c r="H772" s="78">
        <f>H773</f>
        <v>18565.3</v>
      </c>
      <c r="I772" s="78">
        <f>I773</f>
        <v>18565.3</v>
      </c>
      <c r="J772" s="113">
        <f t="shared" si="64"/>
        <v>0</v>
      </c>
      <c r="K772" s="78">
        <f>K773</f>
        <v>12576.4</v>
      </c>
      <c r="L772" s="78">
        <f>L773</f>
        <v>12491.2</v>
      </c>
    </row>
    <row r="773" spans="1:12" ht="51.75" customHeight="1">
      <c r="A773" s="114" t="s">
        <v>414</v>
      </c>
      <c r="B773" s="112" t="s">
        <v>408</v>
      </c>
      <c r="C773" s="129">
        <v>3</v>
      </c>
      <c r="D773" s="111" t="s">
        <v>153</v>
      </c>
      <c r="E773" s="142" t="s">
        <v>431</v>
      </c>
      <c r="F773" s="143">
        <v>100</v>
      </c>
      <c r="G773" s="142" t="s">
        <v>49</v>
      </c>
      <c r="H773" s="78">
        <f>'Пр. 11'!I66</f>
        <v>18565.3</v>
      </c>
      <c r="I773" s="78">
        <f>'Пр. 11'!J66</f>
        <v>18565.3</v>
      </c>
      <c r="J773" s="113">
        <f t="shared" si="64"/>
        <v>0</v>
      </c>
      <c r="K773" s="78">
        <f>'Пр. 11'!L66</f>
        <v>12576.4</v>
      </c>
      <c r="L773" s="78">
        <f>'Пр. 11'!M66</f>
        <v>12491.2</v>
      </c>
    </row>
    <row r="774" spans="1:12" ht="35.25" customHeight="1">
      <c r="A774" s="114" t="s">
        <v>758</v>
      </c>
      <c r="B774" s="112" t="s">
        <v>408</v>
      </c>
      <c r="C774" s="129">
        <v>3</v>
      </c>
      <c r="D774" s="111" t="s">
        <v>153</v>
      </c>
      <c r="E774" s="142" t="s">
        <v>431</v>
      </c>
      <c r="F774" s="143">
        <v>200</v>
      </c>
      <c r="G774" s="142"/>
      <c r="H774" s="78">
        <f>H775</f>
        <v>679.2</v>
      </c>
      <c r="I774" s="78">
        <f>I775</f>
        <v>679.2</v>
      </c>
      <c r="J774" s="113">
        <f t="shared" si="64"/>
        <v>0</v>
      </c>
      <c r="K774" s="78">
        <f>K775</f>
        <v>453.5</v>
      </c>
      <c r="L774" s="78">
        <f>L775</f>
        <v>434.6</v>
      </c>
    </row>
    <row r="775" spans="1:12" s="5" customFormat="1" ht="54" customHeight="1">
      <c r="A775" s="114" t="s">
        <v>414</v>
      </c>
      <c r="B775" s="112" t="s">
        <v>408</v>
      </c>
      <c r="C775" s="129">
        <v>3</v>
      </c>
      <c r="D775" s="111" t="s">
        <v>153</v>
      </c>
      <c r="E775" s="142" t="s">
        <v>431</v>
      </c>
      <c r="F775" s="143">
        <v>200</v>
      </c>
      <c r="G775" s="142" t="s">
        <v>49</v>
      </c>
      <c r="H775" s="78">
        <f>'Пр. 11'!I67</f>
        <v>679.2</v>
      </c>
      <c r="I775" s="78">
        <f>'Пр. 11'!J67</f>
        <v>679.2</v>
      </c>
      <c r="J775" s="113">
        <f t="shared" si="64"/>
        <v>0</v>
      </c>
      <c r="K775" s="78">
        <f>'Пр. 11'!L67</f>
        <v>453.5</v>
      </c>
      <c r="L775" s="78">
        <f>'Пр. 11'!M67</f>
        <v>434.6</v>
      </c>
    </row>
    <row r="776" spans="1:12" s="5" customFormat="1" ht="54.75" customHeight="1">
      <c r="A776" s="114" t="s">
        <v>432</v>
      </c>
      <c r="B776" s="112" t="s">
        <v>408</v>
      </c>
      <c r="C776" s="129">
        <v>3</v>
      </c>
      <c r="D776" s="111" t="s">
        <v>153</v>
      </c>
      <c r="E776" s="142" t="s">
        <v>433</v>
      </c>
      <c r="F776" s="143"/>
      <c r="G776" s="142"/>
      <c r="H776" s="78">
        <f>H777+H779</f>
        <v>0</v>
      </c>
      <c r="I776" s="78">
        <f>I777+I779</f>
        <v>0</v>
      </c>
      <c r="J776" s="113">
        <f t="shared" si="64"/>
        <v>0</v>
      </c>
      <c r="K776" s="78">
        <f>K777+K779</f>
        <v>4269.6</v>
      </c>
      <c r="L776" s="78">
        <f>L777+L779</f>
        <v>4291.9</v>
      </c>
    </row>
    <row r="777" spans="1:12" s="5" customFormat="1" ht="63.75" customHeight="1">
      <c r="A777" s="114" t="s">
        <v>755</v>
      </c>
      <c r="B777" s="112" t="s">
        <v>408</v>
      </c>
      <c r="C777" s="129">
        <v>3</v>
      </c>
      <c r="D777" s="111" t="s">
        <v>153</v>
      </c>
      <c r="E777" s="142" t="s">
        <v>433</v>
      </c>
      <c r="F777" s="143">
        <v>100</v>
      </c>
      <c r="G777" s="142"/>
      <c r="H777" s="78">
        <f>H778</f>
        <v>0</v>
      </c>
      <c r="I777" s="78">
        <f>I778</f>
        <v>0</v>
      </c>
      <c r="J777" s="113">
        <f t="shared" si="64"/>
        <v>0</v>
      </c>
      <c r="K777" s="78">
        <f>K778</f>
        <v>3957</v>
      </c>
      <c r="L777" s="78">
        <f>L778</f>
        <v>4120</v>
      </c>
    </row>
    <row r="778" spans="1:12" s="5" customFormat="1" ht="38.25" customHeight="1">
      <c r="A778" s="114" t="s">
        <v>52</v>
      </c>
      <c r="B778" s="112" t="s">
        <v>408</v>
      </c>
      <c r="C778" s="129">
        <v>3</v>
      </c>
      <c r="D778" s="111" t="s">
        <v>153</v>
      </c>
      <c r="E778" s="142" t="s">
        <v>433</v>
      </c>
      <c r="F778" s="143">
        <v>100</v>
      </c>
      <c r="G778" s="142" t="s">
        <v>53</v>
      </c>
      <c r="H778" s="78">
        <f>'Пр. 11'!I518</f>
        <v>0</v>
      </c>
      <c r="I778" s="78">
        <f>'Пр. 11'!J518</f>
        <v>0</v>
      </c>
      <c r="J778" s="113">
        <f t="shared" si="64"/>
        <v>0</v>
      </c>
      <c r="K778" s="78">
        <f>'Пр. 11'!L518</f>
        <v>3957</v>
      </c>
      <c r="L778" s="78">
        <f>'Пр. 11'!M518</f>
        <v>4120</v>
      </c>
    </row>
    <row r="779" spans="1:12" s="5" customFormat="1" ht="31.5" customHeight="1">
      <c r="A779" s="114" t="s">
        <v>758</v>
      </c>
      <c r="B779" s="112" t="s">
        <v>408</v>
      </c>
      <c r="C779" s="129">
        <v>3</v>
      </c>
      <c r="D779" s="111" t="s">
        <v>153</v>
      </c>
      <c r="E779" s="142" t="s">
        <v>433</v>
      </c>
      <c r="F779" s="143">
        <v>200</v>
      </c>
      <c r="G779" s="142"/>
      <c r="H779" s="78">
        <f>H780</f>
        <v>0</v>
      </c>
      <c r="I779" s="78">
        <f>I780</f>
        <v>0</v>
      </c>
      <c r="J779" s="113">
        <f t="shared" si="64"/>
        <v>0</v>
      </c>
      <c r="K779" s="78">
        <f>K780</f>
        <v>312.6</v>
      </c>
      <c r="L779" s="78">
        <f>L780</f>
        <v>171.9</v>
      </c>
    </row>
    <row r="780" spans="1:12" s="5" customFormat="1" ht="42" customHeight="1">
      <c r="A780" s="114" t="s">
        <v>52</v>
      </c>
      <c r="B780" s="112" t="s">
        <v>408</v>
      </c>
      <c r="C780" s="129">
        <v>3</v>
      </c>
      <c r="D780" s="111" t="s">
        <v>153</v>
      </c>
      <c r="E780" s="142" t="s">
        <v>433</v>
      </c>
      <c r="F780" s="143">
        <v>200</v>
      </c>
      <c r="G780" s="142" t="s">
        <v>53</v>
      </c>
      <c r="H780" s="78">
        <f>'Пр. 11'!I519</f>
        <v>0</v>
      </c>
      <c r="I780" s="78">
        <f>'Пр. 11'!J519</f>
        <v>0</v>
      </c>
      <c r="J780" s="113">
        <f t="shared" si="64"/>
        <v>0</v>
      </c>
      <c r="K780" s="78">
        <f>'Пр. 11'!L519</f>
        <v>312.6</v>
      </c>
      <c r="L780" s="78">
        <f>'Пр. 11'!M519</f>
        <v>171.9</v>
      </c>
    </row>
    <row r="781" spans="1:12" s="5" customFormat="1" ht="50.25" customHeight="1">
      <c r="A781" s="114" t="s">
        <v>434</v>
      </c>
      <c r="B781" s="112" t="s">
        <v>408</v>
      </c>
      <c r="C781" s="129">
        <v>3</v>
      </c>
      <c r="D781" s="111" t="s">
        <v>153</v>
      </c>
      <c r="E781" s="142" t="s">
        <v>435</v>
      </c>
      <c r="F781" s="143"/>
      <c r="G781" s="142"/>
      <c r="H781" s="78">
        <f>H782+H784+H786</f>
        <v>0</v>
      </c>
      <c r="I781" s="78">
        <f>I782+I784+I786</f>
        <v>0</v>
      </c>
      <c r="J781" s="113">
        <f t="shared" si="64"/>
        <v>0</v>
      </c>
      <c r="K781" s="78">
        <f>K782+K784+K786</f>
        <v>2505.6</v>
      </c>
      <c r="L781" s="78">
        <f>L782+L784+L786</f>
        <v>2600.2</v>
      </c>
    </row>
    <row r="782" spans="1:12" s="5" customFormat="1" ht="69.75" customHeight="1">
      <c r="A782" s="114" t="s">
        <v>755</v>
      </c>
      <c r="B782" s="112" t="s">
        <v>408</v>
      </c>
      <c r="C782" s="129">
        <v>3</v>
      </c>
      <c r="D782" s="111" t="s">
        <v>153</v>
      </c>
      <c r="E782" s="142" t="s">
        <v>435</v>
      </c>
      <c r="F782" s="143">
        <v>100</v>
      </c>
      <c r="G782" s="142"/>
      <c r="H782" s="78">
        <f>H783</f>
        <v>0</v>
      </c>
      <c r="I782" s="78">
        <f>I783</f>
        <v>0</v>
      </c>
      <c r="J782" s="113">
        <f t="shared" si="64"/>
        <v>0</v>
      </c>
      <c r="K782" s="78">
        <f>K783</f>
        <v>2367.4</v>
      </c>
      <c r="L782" s="78">
        <f>L783</f>
        <v>2462</v>
      </c>
    </row>
    <row r="783" spans="1:12" s="5" customFormat="1" ht="23.25" customHeight="1">
      <c r="A783" s="114" t="s">
        <v>56</v>
      </c>
      <c r="B783" s="112" t="s">
        <v>408</v>
      </c>
      <c r="C783" s="129">
        <v>3</v>
      </c>
      <c r="D783" s="111" t="s">
        <v>153</v>
      </c>
      <c r="E783" s="142" t="s">
        <v>435</v>
      </c>
      <c r="F783" s="143">
        <v>100</v>
      </c>
      <c r="G783" s="142" t="s">
        <v>57</v>
      </c>
      <c r="H783" s="78">
        <f>'Пр. 11'!I712</f>
        <v>0</v>
      </c>
      <c r="I783" s="78">
        <f>'Пр. 11'!J712</f>
        <v>0</v>
      </c>
      <c r="J783" s="113">
        <f t="shared" si="64"/>
        <v>0</v>
      </c>
      <c r="K783" s="78">
        <f>'Пр. 11'!L712</f>
        <v>2367.4</v>
      </c>
      <c r="L783" s="78">
        <f>'Пр. 11'!M712</f>
        <v>2462</v>
      </c>
    </row>
    <row r="784" spans="1:12" ht="33.75" customHeight="1">
      <c r="A784" s="114" t="s">
        <v>758</v>
      </c>
      <c r="B784" s="112" t="s">
        <v>408</v>
      </c>
      <c r="C784" s="129">
        <v>3</v>
      </c>
      <c r="D784" s="111" t="s">
        <v>153</v>
      </c>
      <c r="E784" s="142" t="s">
        <v>435</v>
      </c>
      <c r="F784" s="143">
        <v>200</v>
      </c>
      <c r="G784" s="142"/>
      <c r="H784" s="78">
        <f>H785</f>
        <v>0</v>
      </c>
      <c r="I784" s="78">
        <f>I785</f>
        <v>0</v>
      </c>
      <c r="J784" s="113">
        <f t="shared" si="64"/>
        <v>0</v>
      </c>
      <c r="K784" s="78">
        <f>K785</f>
        <v>138.2</v>
      </c>
      <c r="L784" s="78">
        <f>L785</f>
        <v>138.2</v>
      </c>
    </row>
    <row r="785" spans="1:12" ht="24" customHeight="1">
      <c r="A785" s="114" t="s">
        <v>56</v>
      </c>
      <c r="B785" s="112" t="s">
        <v>408</v>
      </c>
      <c r="C785" s="129">
        <v>3</v>
      </c>
      <c r="D785" s="111" t="s">
        <v>153</v>
      </c>
      <c r="E785" s="142" t="s">
        <v>435</v>
      </c>
      <c r="F785" s="143">
        <v>200</v>
      </c>
      <c r="G785" s="142" t="s">
        <v>57</v>
      </c>
      <c r="H785" s="78">
        <f>'Пр. 11'!I713</f>
        <v>0</v>
      </c>
      <c r="I785" s="78">
        <f>'Пр. 11'!J713</f>
        <v>0</v>
      </c>
      <c r="J785" s="113">
        <f t="shared" si="64"/>
        <v>0</v>
      </c>
      <c r="K785" s="78">
        <f>'Пр. 11'!L713</f>
        <v>138.2</v>
      </c>
      <c r="L785" s="78">
        <f>'Пр. 11'!M713</f>
        <v>138.2</v>
      </c>
    </row>
    <row r="786" spans="1:12" ht="21" customHeight="1" hidden="1">
      <c r="A786" s="114" t="s">
        <v>759</v>
      </c>
      <c r="B786" s="112" t="s">
        <v>408</v>
      </c>
      <c r="C786" s="112" t="s">
        <v>139</v>
      </c>
      <c r="D786" s="112" t="s">
        <v>153</v>
      </c>
      <c r="E786" s="112" t="s">
        <v>435</v>
      </c>
      <c r="F786" s="143">
        <v>800</v>
      </c>
      <c r="G786" s="142"/>
      <c r="H786" s="78">
        <f>H787</f>
        <v>0</v>
      </c>
      <c r="I786" s="78">
        <f>I787</f>
        <v>0</v>
      </c>
      <c r="J786" s="113">
        <f t="shared" si="64"/>
        <v>0</v>
      </c>
      <c r="K786" s="78">
        <f>K787</f>
        <v>0</v>
      </c>
      <c r="L786" s="78">
        <f>L787</f>
        <v>0</v>
      </c>
    </row>
    <row r="787" spans="1:12" ht="22.5" customHeight="1" hidden="1">
      <c r="A787" s="114" t="s">
        <v>56</v>
      </c>
      <c r="B787" s="112" t="s">
        <v>408</v>
      </c>
      <c r="C787" s="112" t="s">
        <v>139</v>
      </c>
      <c r="D787" s="112" t="s">
        <v>153</v>
      </c>
      <c r="E787" s="112" t="s">
        <v>435</v>
      </c>
      <c r="F787" s="143">
        <v>800</v>
      </c>
      <c r="G787" s="142" t="s">
        <v>57</v>
      </c>
      <c r="H787" s="78">
        <f>'Пр. 11'!I714</f>
        <v>0</v>
      </c>
      <c r="I787" s="78">
        <f>'Пр. 11'!J714</f>
        <v>0</v>
      </c>
      <c r="J787" s="113">
        <f t="shared" si="64"/>
        <v>0</v>
      </c>
      <c r="K787" s="78">
        <f>'Пр. 11'!L714</f>
        <v>0</v>
      </c>
      <c r="L787" s="78">
        <f>'Пр. 11'!M714</f>
        <v>0</v>
      </c>
    </row>
    <row r="788" spans="1:12" ht="36" customHeight="1">
      <c r="A788" s="114" t="s">
        <v>436</v>
      </c>
      <c r="B788" s="112" t="s">
        <v>408</v>
      </c>
      <c r="C788" s="129">
        <v>3</v>
      </c>
      <c r="D788" s="111" t="s">
        <v>153</v>
      </c>
      <c r="E788" s="142" t="s">
        <v>437</v>
      </c>
      <c r="F788" s="143"/>
      <c r="G788" s="142"/>
      <c r="H788" s="78">
        <f>H789</f>
        <v>651.7</v>
      </c>
      <c r="I788" s="78">
        <f>I789</f>
        <v>651.7</v>
      </c>
      <c r="J788" s="113">
        <f t="shared" si="64"/>
        <v>0</v>
      </c>
      <c r="K788" s="78">
        <f>K789</f>
        <v>651.7</v>
      </c>
      <c r="L788" s="78">
        <f>L789</f>
        <v>651.7</v>
      </c>
    </row>
    <row r="789" spans="1:12" ht="66.75" customHeight="1">
      <c r="A789" s="114" t="s">
        <v>755</v>
      </c>
      <c r="B789" s="112" t="s">
        <v>408</v>
      </c>
      <c r="C789" s="129">
        <v>3</v>
      </c>
      <c r="D789" s="111" t="s">
        <v>153</v>
      </c>
      <c r="E789" s="142" t="s">
        <v>437</v>
      </c>
      <c r="F789" s="143">
        <v>100</v>
      </c>
      <c r="G789" s="142"/>
      <c r="H789" s="78">
        <f>H790</f>
        <v>651.7</v>
      </c>
      <c r="I789" s="78">
        <f>I790</f>
        <v>651.7</v>
      </c>
      <c r="J789" s="113">
        <f t="shared" si="64"/>
        <v>0</v>
      </c>
      <c r="K789" s="78">
        <f>K790</f>
        <v>651.7</v>
      </c>
      <c r="L789" s="78">
        <f>L790</f>
        <v>651.7</v>
      </c>
    </row>
    <row r="790" spans="1:12" s="9" customFormat="1" ht="54" customHeight="1">
      <c r="A790" s="114" t="s">
        <v>46</v>
      </c>
      <c r="B790" s="112" t="s">
        <v>408</v>
      </c>
      <c r="C790" s="129">
        <v>3</v>
      </c>
      <c r="D790" s="111" t="s">
        <v>153</v>
      </c>
      <c r="E790" s="142" t="s">
        <v>437</v>
      </c>
      <c r="F790" s="143">
        <v>100</v>
      </c>
      <c r="G790" s="142" t="s">
        <v>47</v>
      </c>
      <c r="H790" s="78">
        <f>'Пр. 11'!I799</f>
        <v>651.7</v>
      </c>
      <c r="I790" s="78">
        <f>'Пр. 11'!J799</f>
        <v>651.7</v>
      </c>
      <c r="J790" s="113">
        <f t="shared" si="64"/>
        <v>0</v>
      </c>
      <c r="K790" s="78">
        <f>'Пр. 11'!L799</f>
        <v>651.7</v>
      </c>
      <c r="L790" s="78">
        <f>'Пр. 11'!M799</f>
        <v>651.7</v>
      </c>
    </row>
    <row r="791" spans="1:12" ht="51" customHeight="1">
      <c r="A791" s="114" t="s">
        <v>438</v>
      </c>
      <c r="B791" s="112" t="s">
        <v>408</v>
      </c>
      <c r="C791" s="129">
        <v>3</v>
      </c>
      <c r="D791" s="111" t="s">
        <v>153</v>
      </c>
      <c r="E791" s="142" t="s">
        <v>439</v>
      </c>
      <c r="F791" s="143"/>
      <c r="G791" s="142"/>
      <c r="H791" s="78">
        <f>H792</f>
        <v>200</v>
      </c>
      <c r="I791" s="78">
        <f>I792</f>
        <v>200</v>
      </c>
      <c r="J791" s="113">
        <f t="shared" si="64"/>
        <v>0</v>
      </c>
      <c r="K791" s="78">
        <f>K792</f>
        <v>200</v>
      </c>
      <c r="L791" s="78">
        <f>L792</f>
        <v>200</v>
      </c>
    </row>
    <row r="792" spans="1:12" ht="64.5" customHeight="1">
      <c r="A792" s="114" t="s">
        <v>755</v>
      </c>
      <c r="B792" s="112" t="s">
        <v>408</v>
      </c>
      <c r="C792" s="129">
        <v>3</v>
      </c>
      <c r="D792" s="111" t="s">
        <v>153</v>
      </c>
      <c r="E792" s="142" t="s">
        <v>439</v>
      </c>
      <c r="F792" s="143">
        <v>100</v>
      </c>
      <c r="G792" s="142"/>
      <c r="H792" s="78">
        <f>H793</f>
        <v>200</v>
      </c>
      <c r="I792" s="78">
        <f>I793</f>
        <v>200</v>
      </c>
      <c r="J792" s="113">
        <f t="shared" si="64"/>
        <v>0</v>
      </c>
      <c r="K792" s="78">
        <f>K793</f>
        <v>200</v>
      </c>
      <c r="L792" s="78">
        <f>L793</f>
        <v>200</v>
      </c>
    </row>
    <row r="793" spans="1:12" ht="43.5" customHeight="1">
      <c r="A793" s="114" t="s">
        <v>52</v>
      </c>
      <c r="B793" s="112" t="s">
        <v>408</v>
      </c>
      <c r="C793" s="129">
        <v>3</v>
      </c>
      <c r="D793" s="111" t="s">
        <v>153</v>
      </c>
      <c r="E793" s="142" t="s">
        <v>439</v>
      </c>
      <c r="F793" s="143">
        <v>100</v>
      </c>
      <c r="G793" s="142" t="s">
        <v>53</v>
      </c>
      <c r="H793" s="78">
        <f>'Пр. 11'!I1183</f>
        <v>200</v>
      </c>
      <c r="I793" s="78">
        <f>'Пр. 11'!J1183</f>
        <v>200</v>
      </c>
      <c r="J793" s="113">
        <f t="shared" si="64"/>
        <v>0</v>
      </c>
      <c r="K793" s="78">
        <f>'Пр. 11'!L1183</f>
        <v>200</v>
      </c>
      <c r="L793" s="78">
        <f>'Пр. 11'!M1183</f>
        <v>200</v>
      </c>
    </row>
    <row r="794" spans="1:12" ht="45.75" customHeight="1">
      <c r="A794" s="109" t="s">
        <v>440</v>
      </c>
      <c r="B794" s="107" t="s">
        <v>408</v>
      </c>
      <c r="C794" s="71" t="s">
        <v>140</v>
      </c>
      <c r="D794" s="71" t="s">
        <v>155</v>
      </c>
      <c r="E794" s="71" t="s">
        <v>156</v>
      </c>
      <c r="F794" s="71"/>
      <c r="G794" s="107"/>
      <c r="H794" s="37">
        <f aca="true" t="shared" si="65" ref="H794:I797">H795</f>
        <v>2051.3</v>
      </c>
      <c r="I794" s="37">
        <f t="shared" si="65"/>
        <v>2051.3</v>
      </c>
      <c r="J794" s="108">
        <f t="shared" si="64"/>
        <v>0</v>
      </c>
      <c r="K794" s="37">
        <f aca="true" t="shared" si="66" ref="K794:L797">K795</f>
        <v>2133.4</v>
      </c>
      <c r="L794" s="37">
        <f t="shared" si="66"/>
        <v>2218.7</v>
      </c>
    </row>
    <row r="795" spans="1:14" ht="21" customHeight="1">
      <c r="A795" s="109" t="s">
        <v>410</v>
      </c>
      <c r="B795" s="107" t="s">
        <v>408</v>
      </c>
      <c r="C795" s="105" t="s">
        <v>140</v>
      </c>
      <c r="D795" s="107" t="s">
        <v>153</v>
      </c>
      <c r="E795" s="107" t="s">
        <v>156</v>
      </c>
      <c r="F795" s="105"/>
      <c r="G795" s="107"/>
      <c r="H795" s="37">
        <f t="shared" si="65"/>
        <v>2051.3</v>
      </c>
      <c r="I795" s="37">
        <f t="shared" si="65"/>
        <v>2051.3</v>
      </c>
      <c r="J795" s="108">
        <f t="shared" si="64"/>
        <v>0</v>
      </c>
      <c r="K795" s="37">
        <f t="shared" si="66"/>
        <v>2133.4</v>
      </c>
      <c r="L795" s="37">
        <f t="shared" si="66"/>
        <v>2218.7</v>
      </c>
      <c r="N795" s="39"/>
    </row>
    <row r="796" spans="1:12" ht="21" customHeight="1">
      <c r="A796" s="114" t="s">
        <v>411</v>
      </c>
      <c r="B796" s="112" t="s">
        <v>408</v>
      </c>
      <c r="C796" s="129">
        <v>4</v>
      </c>
      <c r="D796" s="112" t="s">
        <v>153</v>
      </c>
      <c r="E796" s="112" t="s">
        <v>412</v>
      </c>
      <c r="F796" s="129"/>
      <c r="G796" s="112"/>
      <c r="H796" s="37">
        <f t="shared" si="65"/>
        <v>2051.3</v>
      </c>
      <c r="I796" s="37">
        <f t="shared" si="65"/>
        <v>2051.3</v>
      </c>
      <c r="J796" s="108">
        <f t="shared" si="64"/>
        <v>0</v>
      </c>
      <c r="K796" s="37">
        <f t="shared" si="66"/>
        <v>2133.4</v>
      </c>
      <c r="L796" s="37">
        <f t="shared" si="66"/>
        <v>2218.7</v>
      </c>
    </row>
    <row r="797" spans="1:12" ht="67.5" customHeight="1">
      <c r="A797" s="114" t="s">
        <v>755</v>
      </c>
      <c r="B797" s="112" t="s">
        <v>408</v>
      </c>
      <c r="C797" s="129">
        <v>4</v>
      </c>
      <c r="D797" s="112" t="s">
        <v>153</v>
      </c>
      <c r="E797" s="112" t="s">
        <v>412</v>
      </c>
      <c r="F797" s="129">
        <v>100</v>
      </c>
      <c r="G797" s="112"/>
      <c r="H797" s="78">
        <f t="shared" si="65"/>
        <v>2051.3</v>
      </c>
      <c r="I797" s="78">
        <f t="shared" si="65"/>
        <v>2051.3</v>
      </c>
      <c r="J797" s="113">
        <f t="shared" si="64"/>
        <v>0</v>
      </c>
      <c r="K797" s="78">
        <f t="shared" si="66"/>
        <v>2133.4</v>
      </c>
      <c r="L797" s="78">
        <f t="shared" si="66"/>
        <v>2218.7</v>
      </c>
    </row>
    <row r="798" spans="1:15" ht="36" customHeight="1">
      <c r="A798" s="114" t="s">
        <v>52</v>
      </c>
      <c r="B798" s="112" t="s">
        <v>408</v>
      </c>
      <c r="C798" s="129">
        <v>4</v>
      </c>
      <c r="D798" s="112" t="s">
        <v>153</v>
      </c>
      <c r="E798" s="112" t="s">
        <v>412</v>
      </c>
      <c r="F798" s="129">
        <v>100</v>
      </c>
      <c r="G798" s="112" t="s">
        <v>53</v>
      </c>
      <c r="H798" s="78">
        <f>'Пр. 11'!I1187</f>
        <v>2051.3</v>
      </c>
      <c r="I798" s="78">
        <f>'Пр. 11'!J1187</f>
        <v>2051.3</v>
      </c>
      <c r="J798" s="113">
        <f t="shared" si="64"/>
        <v>0</v>
      </c>
      <c r="K798" s="78">
        <f>'Пр. 11'!L1187</f>
        <v>2133.4</v>
      </c>
      <c r="L798" s="78">
        <f>'Пр. 11'!M1187</f>
        <v>2218.7</v>
      </c>
      <c r="O798" s="39"/>
    </row>
    <row r="799" spans="1:12" ht="19.5" customHeight="1">
      <c r="A799" s="122" t="s">
        <v>441</v>
      </c>
      <c r="B799" s="107" t="s">
        <v>442</v>
      </c>
      <c r="C799" s="105">
        <v>0</v>
      </c>
      <c r="D799" s="107" t="s">
        <v>155</v>
      </c>
      <c r="E799" s="107" t="s">
        <v>156</v>
      </c>
      <c r="F799" s="105"/>
      <c r="G799" s="107"/>
      <c r="H799" s="37">
        <f>H800</f>
        <v>159836.29999999996</v>
      </c>
      <c r="I799" s="37">
        <f>I800</f>
        <v>166416.29999999996</v>
      </c>
      <c r="J799" s="108">
        <f t="shared" si="64"/>
        <v>6580</v>
      </c>
      <c r="K799" s="37">
        <f>K800</f>
        <v>136184.5</v>
      </c>
      <c r="L799" s="37">
        <f>L800</f>
        <v>139250.5</v>
      </c>
    </row>
    <row r="800" spans="1:12" ht="17.25" customHeight="1">
      <c r="A800" s="109" t="s">
        <v>410</v>
      </c>
      <c r="B800" s="71" t="s">
        <v>442</v>
      </c>
      <c r="C800" s="71" t="s">
        <v>338</v>
      </c>
      <c r="D800" s="71" t="s">
        <v>155</v>
      </c>
      <c r="E800" s="71" t="s">
        <v>156</v>
      </c>
      <c r="F800" s="71"/>
      <c r="G800" s="107"/>
      <c r="H800" s="37">
        <f>H801</f>
        <v>159836.29999999996</v>
      </c>
      <c r="I800" s="37">
        <f>I801</f>
        <v>166416.29999999996</v>
      </c>
      <c r="J800" s="108">
        <f t="shared" si="64"/>
        <v>6580</v>
      </c>
      <c r="K800" s="37">
        <f>K801</f>
        <v>136184.5</v>
      </c>
      <c r="L800" s="37">
        <f>L801</f>
        <v>139250.5</v>
      </c>
    </row>
    <row r="801" spans="1:12" ht="24.75" customHeight="1">
      <c r="A801" s="109" t="s">
        <v>410</v>
      </c>
      <c r="B801" s="107" t="s">
        <v>443</v>
      </c>
      <c r="C801" s="105" t="s">
        <v>338</v>
      </c>
      <c r="D801" s="107" t="s">
        <v>153</v>
      </c>
      <c r="E801" s="107" t="s">
        <v>156</v>
      </c>
      <c r="F801" s="105"/>
      <c r="G801" s="107"/>
      <c r="H801" s="37">
        <f>H802+H814+H819+H822+H826+H829+H832+H841+H844+H847+H850+H855+H858+H869+H872+H875+H880+H883+H886+H889+H892+H895+H898+H901+H904+H907+H910+H913+H916+H919+H922+H925+H928+H931+H934+H937+H940+H943+H949+H953++H962+H965+H977+H985+H988+H991+H994+H997+H1004+H1011+H1014+H1017+H1020+H1023+H1028+H1031+H835+H865+H838+H956+H946</f>
        <v>159836.29999999996</v>
      </c>
      <c r="I801" s="37">
        <f>I802+I814+I819+I822+I826+I829+I832+I841+I844+I847+I850+I855+I858+I869+I872+I875+I880+I883+I886+I889+I892+I895+I898+I901+I904+I907+I910+I913+I916+I919+I922+I925+I928+I931+I934+I937+I940+I943+I949+I953++I962+I965+I977+I985+I988+I991+I994+I997+I1004+I1011+I1014+I1017+I1020+I1023+I1028+I1031+I835+I865+I838+I956+I946</f>
        <v>166416.29999999996</v>
      </c>
      <c r="J801" s="108">
        <f t="shared" si="64"/>
        <v>6580</v>
      </c>
      <c r="K801" s="37">
        <f>K802+K814+K819+K822+K826+K829+K832+K841+K844+K847+K850+K855+K858+K869+K872+K875+K880+K883+K886+K889+K892+K895+K898+K901+K904+K907+K910+K913+K916+K919+K922+K925+K928+K931+K934+K937+K940+K943+K949+K953++K962+K965+K977+K985+K988+K991+K994+K997+K1004+K1011+K1014+K1017+K1020+K1023+K1028+K1031+K835+K865+K838+K956+K946</f>
        <v>136184.5</v>
      </c>
      <c r="L801" s="37">
        <f>L802+L814+L819+L822+L826+L829+L832+L841+L844+L847+L850+L855+L858+L869+L872+L875+L880+L883+L886+L889+L892+L895+L898+L901+L904+L907+L910+L913+L916+L919+L922+L925+L928+L931+L934+L937+L940+L943+L949+L953++L962+L965+L977+L985+L988+L991+L994+L997+L1004+L1011+L1014+L1017+L1020+L1023+L1028+L1031+L835+L865+L838+L956+L946</f>
        <v>139250.5</v>
      </c>
    </row>
    <row r="802" spans="1:12" ht="24.75" customHeight="1">
      <c r="A802" s="22" t="s">
        <v>196</v>
      </c>
      <c r="B802" s="112" t="s">
        <v>442</v>
      </c>
      <c r="C802" s="129">
        <v>9</v>
      </c>
      <c r="D802" s="112" t="s">
        <v>153</v>
      </c>
      <c r="E802" s="112" t="s">
        <v>197</v>
      </c>
      <c r="F802" s="129"/>
      <c r="G802" s="112"/>
      <c r="H802" s="78">
        <f>H803+H806+H811+H809</f>
        <v>79458</v>
      </c>
      <c r="I802" s="78">
        <f>I803+I806+I811+I809</f>
        <v>79458</v>
      </c>
      <c r="J802" s="113">
        <f t="shared" si="64"/>
        <v>0</v>
      </c>
      <c r="K802" s="78">
        <f>K803+K806+K811+K809</f>
        <v>60100.1</v>
      </c>
      <c r="L802" s="78">
        <f>L803+L806+L811+L809</f>
        <v>63213.5</v>
      </c>
    </row>
    <row r="803" spans="1:12" ht="68.25" customHeight="1">
      <c r="A803" s="119" t="s">
        <v>755</v>
      </c>
      <c r="B803" s="112" t="s">
        <v>442</v>
      </c>
      <c r="C803" s="129">
        <v>9</v>
      </c>
      <c r="D803" s="112" t="s">
        <v>153</v>
      </c>
      <c r="E803" s="112" t="s">
        <v>197</v>
      </c>
      <c r="F803" s="129">
        <v>100</v>
      </c>
      <c r="G803" s="112"/>
      <c r="H803" s="78">
        <f>H804+H805</f>
        <v>60671.9</v>
      </c>
      <c r="I803" s="78">
        <f>I804+I805</f>
        <v>60671.9</v>
      </c>
      <c r="J803" s="113">
        <f t="shared" si="64"/>
        <v>0</v>
      </c>
      <c r="K803" s="78">
        <f>K804+K805</f>
        <v>49350.1</v>
      </c>
      <c r="L803" s="78">
        <f>L804+L805</f>
        <v>51309</v>
      </c>
    </row>
    <row r="804" spans="1:12" ht="24" customHeight="1">
      <c r="A804" s="114" t="s">
        <v>56</v>
      </c>
      <c r="B804" s="112" t="s">
        <v>442</v>
      </c>
      <c r="C804" s="129">
        <v>9</v>
      </c>
      <c r="D804" s="112" t="s">
        <v>153</v>
      </c>
      <c r="E804" s="112" t="s">
        <v>197</v>
      </c>
      <c r="F804" s="129">
        <v>100</v>
      </c>
      <c r="G804" s="112" t="s">
        <v>57</v>
      </c>
      <c r="H804" s="78">
        <f>'Пр. 11'!I130+'Пр. 11'!I762+'Пр. 11'!I865</f>
        <v>41979.9</v>
      </c>
      <c r="I804" s="78">
        <f>'Пр. 11'!J130+'Пр. 11'!J762+'Пр. 11'!J865</f>
        <v>41979.9</v>
      </c>
      <c r="J804" s="113">
        <f t="shared" si="64"/>
        <v>0</v>
      </c>
      <c r="K804" s="78">
        <f>'Пр. 11'!L130+'Пр. 11'!L762+'Пр. 11'!L865</f>
        <v>31947.1</v>
      </c>
      <c r="L804" s="78">
        <f>'Пр. 11'!M130+'Пр. 11'!M762+'Пр. 11'!M865</f>
        <v>33211</v>
      </c>
    </row>
    <row r="805" spans="1:12" ht="24" customHeight="1">
      <c r="A805" s="114" t="s">
        <v>100</v>
      </c>
      <c r="B805" s="112" t="s">
        <v>442</v>
      </c>
      <c r="C805" s="129">
        <v>9</v>
      </c>
      <c r="D805" s="112" t="s">
        <v>153</v>
      </c>
      <c r="E805" s="112" t="s">
        <v>197</v>
      </c>
      <c r="F805" s="129">
        <v>100</v>
      </c>
      <c r="G805" s="112" t="s">
        <v>101</v>
      </c>
      <c r="H805" s="78">
        <f>'Пр. 11'!I1134</f>
        <v>18692</v>
      </c>
      <c r="I805" s="78">
        <f>'Пр. 11'!J1134</f>
        <v>18692</v>
      </c>
      <c r="J805" s="113">
        <f t="shared" si="64"/>
        <v>0</v>
      </c>
      <c r="K805" s="78">
        <f>'Пр. 11'!L1134</f>
        <v>17403</v>
      </c>
      <c r="L805" s="78">
        <f>'Пр. 11'!M1134</f>
        <v>18098</v>
      </c>
    </row>
    <row r="806" spans="1:12" ht="37.5" customHeight="1">
      <c r="A806" s="114" t="s">
        <v>758</v>
      </c>
      <c r="B806" s="112" t="s">
        <v>442</v>
      </c>
      <c r="C806" s="129">
        <v>9</v>
      </c>
      <c r="D806" s="112" t="s">
        <v>153</v>
      </c>
      <c r="E806" s="112" t="s">
        <v>197</v>
      </c>
      <c r="F806" s="129">
        <v>200</v>
      </c>
      <c r="G806" s="112"/>
      <c r="H806" s="78">
        <f>H807+H808</f>
        <v>18452.5</v>
      </c>
      <c r="I806" s="78">
        <f>I807+I808</f>
        <v>18452.5</v>
      </c>
      <c r="J806" s="113">
        <f t="shared" si="64"/>
        <v>0</v>
      </c>
      <c r="K806" s="78">
        <f>K807+K808</f>
        <v>10503.5</v>
      </c>
      <c r="L806" s="78">
        <f>L807+L808</f>
        <v>11645</v>
      </c>
    </row>
    <row r="807" spans="1:12" ht="25.5" customHeight="1">
      <c r="A807" s="114" t="s">
        <v>56</v>
      </c>
      <c r="B807" s="112" t="s">
        <v>442</v>
      </c>
      <c r="C807" s="129">
        <v>9</v>
      </c>
      <c r="D807" s="112" t="s">
        <v>153</v>
      </c>
      <c r="E807" s="112" t="s">
        <v>197</v>
      </c>
      <c r="F807" s="129">
        <v>200</v>
      </c>
      <c r="G807" s="112" t="s">
        <v>57</v>
      </c>
      <c r="H807" s="78">
        <f>'Пр. 11'!I131+'Пр. 11'!I763+'Пр. 11'!I866</f>
        <v>18107.5</v>
      </c>
      <c r="I807" s="78">
        <f>'Пр. 11'!J131+'Пр. 11'!J763+'Пр. 11'!J866</f>
        <v>18107.5</v>
      </c>
      <c r="J807" s="113">
        <f t="shared" si="64"/>
        <v>0</v>
      </c>
      <c r="K807" s="78">
        <f>'Пр. 11'!L131+'Пр. 11'!L763+'Пр. 11'!L866</f>
        <v>10331.5</v>
      </c>
      <c r="L807" s="78">
        <f>'Пр. 11'!M131+'Пр. 11'!M763+'Пр. 11'!M866</f>
        <v>11474</v>
      </c>
    </row>
    <row r="808" spans="1:12" ht="24.75" customHeight="1">
      <c r="A808" s="114" t="s">
        <v>100</v>
      </c>
      <c r="B808" s="112" t="s">
        <v>442</v>
      </c>
      <c r="C808" s="129">
        <v>9</v>
      </c>
      <c r="D808" s="112" t="s">
        <v>153</v>
      </c>
      <c r="E808" s="112" t="s">
        <v>197</v>
      </c>
      <c r="F808" s="129">
        <v>200</v>
      </c>
      <c r="G808" s="112" t="s">
        <v>101</v>
      </c>
      <c r="H808" s="78">
        <f>'Пр. 11'!I1135</f>
        <v>345</v>
      </c>
      <c r="I808" s="78">
        <f>'Пр. 11'!J1135</f>
        <v>345</v>
      </c>
      <c r="J808" s="113">
        <f t="shared" si="64"/>
        <v>0</v>
      </c>
      <c r="K808" s="78">
        <f>'Пр. 11'!L1135</f>
        <v>172</v>
      </c>
      <c r="L808" s="78">
        <f>'Пр. 11'!M1135</f>
        <v>171</v>
      </c>
    </row>
    <row r="809" spans="1:12" ht="22.5" customHeight="1">
      <c r="A809" s="123" t="s">
        <v>762</v>
      </c>
      <c r="B809" s="112" t="s">
        <v>442</v>
      </c>
      <c r="C809" s="112" t="s">
        <v>338</v>
      </c>
      <c r="D809" s="112" t="s">
        <v>153</v>
      </c>
      <c r="E809" s="112" t="s">
        <v>197</v>
      </c>
      <c r="F809" s="129">
        <v>300</v>
      </c>
      <c r="G809" s="112"/>
      <c r="H809" s="78">
        <f>H810</f>
        <v>82</v>
      </c>
      <c r="I809" s="78">
        <f>I810</f>
        <v>82</v>
      </c>
      <c r="J809" s="113">
        <f t="shared" si="64"/>
        <v>0</v>
      </c>
      <c r="K809" s="78">
        <f>K810</f>
        <v>0</v>
      </c>
      <c r="L809" s="78">
        <f>L810</f>
        <v>0</v>
      </c>
    </row>
    <row r="810" spans="1:12" ht="23.25" customHeight="1">
      <c r="A810" s="114" t="s">
        <v>56</v>
      </c>
      <c r="B810" s="112" t="s">
        <v>442</v>
      </c>
      <c r="C810" s="112" t="s">
        <v>338</v>
      </c>
      <c r="D810" s="112" t="s">
        <v>153</v>
      </c>
      <c r="E810" s="112" t="s">
        <v>197</v>
      </c>
      <c r="F810" s="129">
        <v>300</v>
      </c>
      <c r="G810" s="112" t="s">
        <v>57</v>
      </c>
      <c r="H810" s="78">
        <f>'Пр. 11'!I764</f>
        <v>82</v>
      </c>
      <c r="I810" s="78">
        <f>'Пр. 11'!J764</f>
        <v>82</v>
      </c>
      <c r="J810" s="113">
        <f t="shared" si="64"/>
        <v>0</v>
      </c>
      <c r="K810" s="78">
        <f>'Пр. 11'!L764</f>
        <v>0</v>
      </c>
      <c r="L810" s="78">
        <f>'Пр. 11'!M764</f>
        <v>0</v>
      </c>
    </row>
    <row r="811" spans="1:12" ht="21.75" customHeight="1">
      <c r="A811" s="114" t="s">
        <v>759</v>
      </c>
      <c r="B811" s="112" t="s">
        <v>442</v>
      </c>
      <c r="C811" s="129">
        <v>9</v>
      </c>
      <c r="D811" s="112" t="s">
        <v>153</v>
      </c>
      <c r="E811" s="112" t="s">
        <v>197</v>
      </c>
      <c r="F811" s="129">
        <v>800</v>
      </c>
      <c r="G811" s="112"/>
      <c r="H811" s="78">
        <f>H812+H813</f>
        <v>251.6</v>
      </c>
      <c r="I811" s="78">
        <f>I812+I813</f>
        <v>251.6</v>
      </c>
      <c r="J811" s="113">
        <f t="shared" si="64"/>
        <v>0</v>
      </c>
      <c r="K811" s="78">
        <f>K812+K813</f>
        <v>246.5</v>
      </c>
      <c r="L811" s="78">
        <f>L812+L813</f>
        <v>259.5</v>
      </c>
    </row>
    <row r="812" spans="1:12" ht="21" customHeight="1">
      <c r="A812" s="114" t="s">
        <v>56</v>
      </c>
      <c r="B812" s="112" t="s">
        <v>442</v>
      </c>
      <c r="C812" s="129">
        <v>9</v>
      </c>
      <c r="D812" s="112" t="s">
        <v>153</v>
      </c>
      <c r="E812" s="112" t="s">
        <v>197</v>
      </c>
      <c r="F812" s="129">
        <v>800</v>
      </c>
      <c r="G812" s="112" t="s">
        <v>57</v>
      </c>
      <c r="H812" s="78">
        <f>'Пр. 11'!I132+'Пр. 11'!I765+'Пр. 11'!I867</f>
        <v>249.6</v>
      </c>
      <c r="I812" s="78">
        <f>'Пр. 11'!J132+'Пр. 11'!J765+'Пр. 11'!J867</f>
        <v>249.6</v>
      </c>
      <c r="J812" s="113">
        <f t="shared" si="64"/>
        <v>0</v>
      </c>
      <c r="K812" s="78">
        <f>'Пр. 11'!L132+'Пр. 11'!L765+'Пр. 11'!L867</f>
        <v>244.5</v>
      </c>
      <c r="L812" s="78">
        <f>'Пр. 11'!M132+'Пр. 11'!M765+'Пр. 11'!M867</f>
        <v>257.5</v>
      </c>
    </row>
    <row r="813" spans="1:12" ht="26.25" customHeight="1">
      <c r="A813" s="114" t="s">
        <v>100</v>
      </c>
      <c r="B813" s="112" t="s">
        <v>442</v>
      </c>
      <c r="C813" s="129">
        <v>9</v>
      </c>
      <c r="D813" s="112" t="s">
        <v>153</v>
      </c>
      <c r="E813" s="112" t="s">
        <v>197</v>
      </c>
      <c r="F813" s="129">
        <v>800</v>
      </c>
      <c r="G813" s="112" t="s">
        <v>101</v>
      </c>
      <c r="H813" s="78">
        <f>'Пр. 11'!I1136</f>
        <v>2</v>
      </c>
      <c r="I813" s="78">
        <f>'Пр. 11'!J1136</f>
        <v>2</v>
      </c>
      <c r="J813" s="113">
        <f t="shared" si="64"/>
        <v>0</v>
      </c>
      <c r="K813" s="78">
        <f>'Пр. 11'!L1136</f>
        <v>2</v>
      </c>
      <c r="L813" s="78">
        <f>'Пр. 11'!M1136</f>
        <v>2</v>
      </c>
    </row>
    <row r="814" spans="1:12" s="9" customFormat="1" ht="33.75" customHeight="1" hidden="1">
      <c r="A814" s="121" t="s">
        <v>787</v>
      </c>
      <c r="B814" s="112" t="s">
        <v>442</v>
      </c>
      <c r="C814" s="112" t="s">
        <v>338</v>
      </c>
      <c r="D814" s="112" t="s">
        <v>153</v>
      </c>
      <c r="E814" s="112" t="s">
        <v>786</v>
      </c>
      <c r="F814" s="129"/>
      <c r="G814" s="112"/>
      <c r="H814" s="78">
        <f>H815+H817</f>
        <v>0</v>
      </c>
      <c r="I814" s="78">
        <f>I815+I817</f>
        <v>0</v>
      </c>
      <c r="J814" s="113">
        <f t="shared" si="64"/>
        <v>0</v>
      </c>
      <c r="K814" s="78">
        <f>K815+K817</f>
        <v>0</v>
      </c>
      <c r="L814" s="78">
        <f>L815+L817</f>
        <v>0</v>
      </c>
    </row>
    <row r="815" spans="1:12" ht="66.75" customHeight="1" hidden="1">
      <c r="A815" s="123" t="s">
        <v>755</v>
      </c>
      <c r="B815" s="112" t="s">
        <v>442</v>
      </c>
      <c r="C815" s="112" t="s">
        <v>338</v>
      </c>
      <c r="D815" s="112" t="s">
        <v>153</v>
      </c>
      <c r="E815" s="112" t="s">
        <v>786</v>
      </c>
      <c r="F815" s="129">
        <v>100</v>
      </c>
      <c r="G815" s="112"/>
      <c r="H815" s="78">
        <f>H816</f>
        <v>0</v>
      </c>
      <c r="I815" s="78">
        <f>I816</f>
        <v>0</v>
      </c>
      <c r="J815" s="113">
        <f t="shared" si="64"/>
        <v>0</v>
      </c>
      <c r="K815" s="78">
        <f>K816</f>
        <v>0</v>
      </c>
      <c r="L815" s="78">
        <f>L816</f>
        <v>0</v>
      </c>
    </row>
    <row r="816" spans="1:12" ht="22.5" customHeight="1" hidden="1">
      <c r="A816" s="114" t="s">
        <v>56</v>
      </c>
      <c r="B816" s="112" t="s">
        <v>442</v>
      </c>
      <c r="C816" s="112" t="s">
        <v>338</v>
      </c>
      <c r="D816" s="112" t="s">
        <v>153</v>
      </c>
      <c r="E816" s="112" t="s">
        <v>786</v>
      </c>
      <c r="F816" s="129">
        <v>100</v>
      </c>
      <c r="G816" s="112" t="s">
        <v>57</v>
      </c>
      <c r="H816" s="78">
        <f>'Пр. 11'!I767</f>
        <v>0</v>
      </c>
      <c r="I816" s="78">
        <f>'Пр. 11'!J767</f>
        <v>0</v>
      </c>
      <c r="J816" s="113">
        <f t="shared" si="64"/>
        <v>0</v>
      </c>
      <c r="K816" s="78">
        <f>'Пр. 11'!L767</f>
        <v>0</v>
      </c>
      <c r="L816" s="78">
        <f>'Пр. 11'!M767</f>
        <v>0</v>
      </c>
    </row>
    <row r="817" spans="1:12" s="5" customFormat="1" ht="33" customHeight="1" hidden="1">
      <c r="A817" s="123" t="s">
        <v>758</v>
      </c>
      <c r="B817" s="112" t="s">
        <v>442</v>
      </c>
      <c r="C817" s="112" t="s">
        <v>338</v>
      </c>
      <c r="D817" s="112" t="s">
        <v>153</v>
      </c>
      <c r="E817" s="112" t="s">
        <v>786</v>
      </c>
      <c r="F817" s="129">
        <v>200</v>
      </c>
      <c r="G817" s="112"/>
      <c r="H817" s="78">
        <f>H818</f>
        <v>0</v>
      </c>
      <c r="I817" s="78">
        <f>I818</f>
        <v>0</v>
      </c>
      <c r="J817" s="113">
        <f t="shared" si="64"/>
        <v>0</v>
      </c>
      <c r="K817" s="78">
        <f>K818</f>
        <v>0</v>
      </c>
      <c r="L817" s="78">
        <f>L818</f>
        <v>0</v>
      </c>
    </row>
    <row r="818" spans="1:12" ht="21" customHeight="1" hidden="1">
      <c r="A818" s="114" t="s">
        <v>56</v>
      </c>
      <c r="B818" s="112" t="s">
        <v>442</v>
      </c>
      <c r="C818" s="112" t="s">
        <v>338</v>
      </c>
      <c r="D818" s="112" t="s">
        <v>153</v>
      </c>
      <c r="E818" s="112" t="s">
        <v>786</v>
      </c>
      <c r="F818" s="129">
        <v>200</v>
      </c>
      <c r="G818" s="112" t="s">
        <v>57</v>
      </c>
      <c r="H818" s="78">
        <f>'Пр. 11'!I768</f>
        <v>0</v>
      </c>
      <c r="I818" s="78">
        <f>'Пр. 11'!J768</f>
        <v>0</v>
      </c>
      <c r="J818" s="113">
        <f t="shared" si="64"/>
        <v>0</v>
      </c>
      <c r="K818" s="78">
        <f>'Пр. 11'!L768</f>
        <v>0</v>
      </c>
      <c r="L818" s="78">
        <f>'Пр. 11'!M768</f>
        <v>0</v>
      </c>
    </row>
    <row r="819" spans="1:12" ht="22.5" customHeight="1">
      <c r="A819" s="114" t="s">
        <v>310</v>
      </c>
      <c r="B819" s="112" t="s">
        <v>442</v>
      </c>
      <c r="C819" s="112" t="s">
        <v>338</v>
      </c>
      <c r="D819" s="111" t="s">
        <v>153</v>
      </c>
      <c r="E819" s="111" t="s">
        <v>311</v>
      </c>
      <c r="F819" s="111"/>
      <c r="G819" s="112"/>
      <c r="H819" s="78">
        <f>H820</f>
        <v>18087.4</v>
      </c>
      <c r="I819" s="78">
        <f>I820</f>
        <v>18087.4</v>
      </c>
      <c r="J819" s="113">
        <f t="shared" si="64"/>
        <v>0</v>
      </c>
      <c r="K819" s="78">
        <f>K820</f>
        <v>18087.4</v>
      </c>
      <c r="L819" s="78">
        <f>L820</f>
        <v>18087.4</v>
      </c>
    </row>
    <row r="820" spans="1:12" s="9" customFormat="1" ht="21" customHeight="1">
      <c r="A820" s="114" t="s">
        <v>762</v>
      </c>
      <c r="B820" s="112" t="s">
        <v>442</v>
      </c>
      <c r="C820" s="112" t="s">
        <v>338</v>
      </c>
      <c r="D820" s="111" t="s">
        <v>153</v>
      </c>
      <c r="E820" s="111" t="s">
        <v>311</v>
      </c>
      <c r="F820" s="111" t="s">
        <v>761</v>
      </c>
      <c r="G820" s="112"/>
      <c r="H820" s="78">
        <f>H821</f>
        <v>18087.4</v>
      </c>
      <c r="I820" s="78">
        <f>I821</f>
        <v>18087.4</v>
      </c>
      <c r="J820" s="113">
        <f t="shared" si="64"/>
        <v>0</v>
      </c>
      <c r="K820" s="78">
        <f>K821</f>
        <v>18087.4</v>
      </c>
      <c r="L820" s="78">
        <f>L821</f>
        <v>18087.4</v>
      </c>
    </row>
    <row r="821" spans="1:12" s="9" customFormat="1" ht="23.25" customHeight="1">
      <c r="A821" s="22" t="s">
        <v>108</v>
      </c>
      <c r="B821" s="112" t="s">
        <v>442</v>
      </c>
      <c r="C821" s="112" t="s">
        <v>338</v>
      </c>
      <c r="D821" s="111" t="s">
        <v>153</v>
      </c>
      <c r="E821" s="111" t="s">
        <v>311</v>
      </c>
      <c r="F821" s="111" t="s">
        <v>761</v>
      </c>
      <c r="G821" s="112" t="s">
        <v>109</v>
      </c>
      <c r="H821" s="78">
        <f>'Пр. 11'!I403</f>
        <v>18087.4</v>
      </c>
      <c r="I821" s="78">
        <f>'Пр. 11'!J403</f>
        <v>18087.4</v>
      </c>
      <c r="J821" s="113">
        <f t="shared" si="64"/>
        <v>0</v>
      </c>
      <c r="K821" s="78">
        <f>'Пр. 11'!L403</f>
        <v>18087.4</v>
      </c>
      <c r="L821" s="78">
        <f>'Пр. 11'!M403</f>
        <v>18087.4</v>
      </c>
    </row>
    <row r="822" spans="1:12" ht="27" customHeight="1">
      <c r="A822" s="134" t="s">
        <v>244</v>
      </c>
      <c r="B822" s="112" t="s">
        <v>442</v>
      </c>
      <c r="C822" s="112" t="s">
        <v>338</v>
      </c>
      <c r="D822" s="111" t="s">
        <v>153</v>
      </c>
      <c r="E822" s="112" t="s">
        <v>209</v>
      </c>
      <c r="F822" s="111"/>
      <c r="G822" s="112"/>
      <c r="H822" s="78">
        <f>H823</f>
        <v>2654</v>
      </c>
      <c r="I822" s="78">
        <f>I823</f>
        <v>2654</v>
      </c>
      <c r="J822" s="113">
        <f t="shared" si="64"/>
        <v>0</v>
      </c>
      <c r="K822" s="78">
        <f>K823</f>
        <v>0</v>
      </c>
      <c r="L822" s="78">
        <f>L823</f>
        <v>0</v>
      </c>
    </row>
    <row r="823" spans="1:12" ht="31.5" customHeight="1">
      <c r="A823" s="22" t="s">
        <v>763</v>
      </c>
      <c r="B823" s="112" t="s">
        <v>442</v>
      </c>
      <c r="C823" s="112" t="s">
        <v>338</v>
      </c>
      <c r="D823" s="111" t="s">
        <v>153</v>
      </c>
      <c r="E823" s="112" t="s">
        <v>209</v>
      </c>
      <c r="F823" s="111" t="s">
        <v>764</v>
      </c>
      <c r="G823" s="112"/>
      <c r="H823" s="78">
        <f>H824+H825</f>
        <v>2654</v>
      </c>
      <c r="I823" s="78">
        <f>I824+I825</f>
        <v>2654</v>
      </c>
      <c r="J823" s="113">
        <f t="shared" si="64"/>
        <v>0</v>
      </c>
      <c r="K823" s="78">
        <f>K824+K825</f>
        <v>0</v>
      </c>
      <c r="L823" s="78">
        <f>L824+L825</f>
        <v>0</v>
      </c>
    </row>
    <row r="824" spans="1:12" ht="25.5" customHeight="1" hidden="1">
      <c r="A824" s="22" t="s">
        <v>92</v>
      </c>
      <c r="B824" s="112" t="s">
        <v>442</v>
      </c>
      <c r="C824" s="112" t="s">
        <v>338</v>
      </c>
      <c r="D824" s="111" t="s">
        <v>153</v>
      </c>
      <c r="E824" s="112" t="s">
        <v>209</v>
      </c>
      <c r="F824" s="111" t="s">
        <v>764</v>
      </c>
      <c r="G824" s="112" t="s">
        <v>93</v>
      </c>
      <c r="H824" s="78">
        <f>'Пр. 11'!I1045</f>
        <v>0</v>
      </c>
      <c r="I824" s="78">
        <f>'Пр. 11'!J1045</f>
        <v>0</v>
      </c>
      <c r="J824" s="113">
        <f t="shared" si="64"/>
        <v>0</v>
      </c>
      <c r="K824" s="78">
        <f>'Пр. 11'!L1045</f>
        <v>0</v>
      </c>
      <c r="L824" s="78">
        <f>'Пр. 11'!M1045</f>
        <v>0</v>
      </c>
    </row>
    <row r="825" spans="1:12" ht="25.5" customHeight="1">
      <c r="A825" s="22" t="s">
        <v>94</v>
      </c>
      <c r="B825" s="112" t="s">
        <v>442</v>
      </c>
      <c r="C825" s="112" t="s">
        <v>338</v>
      </c>
      <c r="D825" s="111" t="s">
        <v>153</v>
      </c>
      <c r="E825" s="112" t="s">
        <v>209</v>
      </c>
      <c r="F825" s="111" t="s">
        <v>764</v>
      </c>
      <c r="G825" s="112" t="s">
        <v>95</v>
      </c>
      <c r="H825" s="78">
        <f>'Пр. 11'!I329</f>
        <v>2654</v>
      </c>
      <c r="I825" s="78">
        <f>'Пр. 11'!J329</f>
        <v>2654</v>
      </c>
      <c r="J825" s="113">
        <f t="shared" si="64"/>
        <v>0</v>
      </c>
      <c r="K825" s="78">
        <f>'Пр. 11'!L329</f>
        <v>0</v>
      </c>
      <c r="L825" s="78">
        <f>'Пр. 11'!M329</f>
        <v>0</v>
      </c>
    </row>
    <row r="826" spans="1:12" ht="16.5" customHeight="1" hidden="1">
      <c r="A826" s="114" t="s">
        <v>322</v>
      </c>
      <c r="B826" s="112" t="s">
        <v>442</v>
      </c>
      <c r="C826" s="112" t="s">
        <v>338</v>
      </c>
      <c r="D826" s="111" t="s">
        <v>153</v>
      </c>
      <c r="E826" s="111" t="s">
        <v>323</v>
      </c>
      <c r="F826" s="111"/>
      <c r="G826" s="112"/>
      <c r="H826" s="78">
        <f>H827</f>
        <v>0</v>
      </c>
      <c r="I826" s="78">
        <f>I827</f>
        <v>0</v>
      </c>
      <c r="J826" s="113">
        <f t="shared" si="64"/>
        <v>0</v>
      </c>
      <c r="K826" s="78">
        <f>K827</f>
        <v>0</v>
      </c>
      <c r="L826" s="78">
        <f>L827</f>
        <v>0</v>
      </c>
    </row>
    <row r="827" spans="1:12" ht="25.5" customHeight="1" hidden="1">
      <c r="A827" s="119" t="s">
        <v>759</v>
      </c>
      <c r="B827" s="112" t="s">
        <v>442</v>
      </c>
      <c r="C827" s="112" t="s">
        <v>338</v>
      </c>
      <c r="D827" s="111" t="s">
        <v>153</v>
      </c>
      <c r="E827" s="111" t="s">
        <v>323</v>
      </c>
      <c r="F827" s="111" t="s">
        <v>760</v>
      </c>
      <c r="G827" s="112"/>
      <c r="H827" s="78">
        <f>H828</f>
        <v>0</v>
      </c>
      <c r="I827" s="78">
        <f>I828</f>
        <v>0</v>
      </c>
      <c r="J827" s="113">
        <f t="shared" si="64"/>
        <v>0</v>
      </c>
      <c r="K827" s="78">
        <f>K828</f>
        <v>0</v>
      </c>
      <c r="L827" s="78">
        <f>L828</f>
        <v>0</v>
      </c>
    </row>
    <row r="828" spans="1:12" ht="25.5" customHeight="1" hidden="1">
      <c r="A828" s="114" t="s">
        <v>66</v>
      </c>
      <c r="B828" s="112" t="s">
        <v>442</v>
      </c>
      <c r="C828" s="112" t="s">
        <v>338</v>
      </c>
      <c r="D828" s="111" t="s">
        <v>153</v>
      </c>
      <c r="E828" s="111" t="s">
        <v>323</v>
      </c>
      <c r="F828" s="111" t="s">
        <v>760</v>
      </c>
      <c r="G828" s="112" t="s">
        <v>67</v>
      </c>
      <c r="H828" s="78">
        <f>'Пр. 11'!I199</f>
        <v>0</v>
      </c>
      <c r="I828" s="78">
        <f>'Пр. 11'!J199</f>
        <v>0</v>
      </c>
      <c r="J828" s="113">
        <f t="shared" si="64"/>
        <v>0</v>
      </c>
      <c r="K828" s="78">
        <f>'Пр. 11'!L199</f>
        <v>0</v>
      </c>
      <c r="L828" s="78">
        <f>'Пр. 11'!M199</f>
        <v>0</v>
      </c>
    </row>
    <row r="829" spans="1:12" ht="21" customHeight="1" hidden="1">
      <c r="A829" s="114" t="s">
        <v>444</v>
      </c>
      <c r="B829" s="111" t="s">
        <v>442</v>
      </c>
      <c r="C829" s="111" t="s">
        <v>338</v>
      </c>
      <c r="D829" s="111" t="s">
        <v>153</v>
      </c>
      <c r="E829" s="111" t="s">
        <v>445</v>
      </c>
      <c r="F829" s="111"/>
      <c r="G829" s="111"/>
      <c r="H829" s="78">
        <f>H830</f>
        <v>0</v>
      </c>
      <c r="I829" s="78">
        <f>I830</f>
        <v>0</v>
      </c>
      <c r="J829" s="113">
        <f t="shared" si="64"/>
        <v>0</v>
      </c>
      <c r="K829" s="78">
        <f>K830</f>
        <v>0</v>
      </c>
      <c r="L829" s="78">
        <f>L830</f>
        <v>0</v>
      </c>
    </row>
    <row r="830" spans="1:12" ht="21.75" customHeight="1" hidden="1">
      <c r="A830" s="119" t="s">
        <v>759</v>
      </c>
      <c r="B830" s="111" t="s">
        <v>442</v>
      </c>
      <c r="C830" s="111" t="s">
        <v>338</v>
      </c>
      <c r="D830" s="111" t="s">
        <v>153</v>
      </c>
      <c r="E830" s="111" t="s">
        <v>445</v>
      </c>
      <c r="F830" s="111" t="s">
        <v>760</v>
      </c>
      <c r="G830" s="111"/>
      <c r="H830" s="78">
        <f>H831</f>
        <v>0</v>
      </c>
      <c r="I830" s="78">
        <f>I831</f>
        <v>0</v>
      </c>
      <c r="J830" s="113">
        <f t="shared" si="64"/>
        <v>0</v>
      </c>
      <c r="K830" s="78">
        <f>K831</f>
        <v>0</v>
      </c>
      <c r="L830" s="78">
        <f>L831</f>
        <v>0</v>
      </c>
    </row>
    <row r="831" spans="1:12" ht="29.25" customHeight="1" hidden="1">
      <c r="A831" s="114" t="s">
        <v>66</v>
      </c>
      <c r="B831" s="111" t="s">
        <v>442</v>
      </c>
      <c r="C831" s="111" t="s">
        <v>338</v>
      </c>
      <c r="D831" s="111" t="s">
        <v>153</v>
      </c>
      <c r="E831" s="111" t="s">
        <v>445</v>
      </c>
      <c r="F831" s="111" t="s">
        <v>760</v>
      </c>
      <c r="G831" s="112" t="s">
        <v>67</v>
      </c>
      <c r="H831" s="78">
        <f>'Пр. 11'!I201</f>
        <v>0</v>
      </c>
      <c r="I831" s="78">
        <f>'Пр. 11'!J201</f>
        <v>0</v>
      </c>
      <c r="J831" s="113">
        <f t="shared" si="64"/>
        <v>0</v>
      </c>
      <c r="K831" s="78">
        <f>'Пр. 11'!L201</f>
        <v>0</v>
      </c>
      <c r="L831" s="78">
        <f>'Пр. 11'!M201</f>
        <v>0</v>
      </c>
    </row>
    <row r="832" spans="1:12" ht="21" customHeight="1" hidden="1">
      <c r="A832" s="114" t="s">
        <v>714</v>
      </c>
      <c r="B832" s="112" t="s">
        <v>442</v>
      </c>
      <c r="C832" s="112" t="s">
        <v>338</v>
      </c>
      <c r="D832" s="112" t="s">
        <v>153</v>
      </c>
      <c r="E832" s="112" t="s">
        <v>713</v>
      </c>
      <c r="F832" s="129"/>
      <c r="G832" s="112"/>
      <c r="H832" s="78">
        <f>H833</f>
        <v>0</v>
      </c>
      <c r="I832" s="78">
        <f>I833</f>
        <v>0</v>
      </c>
      <c r="J832" s="113">
        <f t="shared" si="64"/>
        <v>0</v>
      </c>
      <c r="K832" s="78">
        <f>K833</f>
        <v>0</v>
      </c>
      <c r="L832" s="78">
        <f>L833</f>
        <v>0</v>
      </c>
    </row>
    <row r="833" spans="1:12" ht="26.25" customHeight="1" hidden="1">
      <c r="A833" s="114" t="s">
        <v>759</v>
      </c>
      <c r="B833" s="112" t="s">
        <v>442</v>
      </c>
      <c r="C833" s="112" t="s">
        <v>338</v>
      </c>
      <c r="D833" s="112" t="s">
        <v>153</v>
      </c>
      <c r="E833" s="112" t="s">
        <v>713</v>
      </c>
      <c r="F833" s="129">
        <v>400</v>
      </c>
      <c r="G833" s="112"/>
      <c r="H833" s="78">
        <f>H834</f>
        <v>0</v>
      </c>
      <c r="I833" s="78">
        <f>I834</f>
        <v>0</v>
      </c>
      <c r="J833" s="113">
        <f aca="true" t="shared" si="67" ref="J833:J901">I833-H833</f>
        <v>0</v>
      </c>
      <c r="K833" s="78">
        <f>K834</f>
        <v>0</v>
      </c>
      <c r="L833" s="78">
        <f>L834</f>
        <v>0</v>
      </c>
    </row>
    <row r="834" spans="1:12" ht="24.75" customHeight="1" hidden="1">
      <c r="A834" s="114" t="s">
        <v>56</v>
      </c>
      <c r="B834" s="112" t="s">
        <v>442</v>
      </c>
      <c r="C834" s="112" t="s">
        <v>338</v>
      </c>
      <c r="D834" s="112" t="s">
        <v>153</v>
      </c>
      <c r="E834" s="112" t="s">
        <v>713</v>
      </c>
      <c r="F834" s="129">
        <v>400</v>
      </c>
      <c r="G834" s="112" t="s">
        <v>57</v>
      </c>
      <c r="H834" s="78">
        <f>'Пр. 11'!I136</f>
        <v>0</v>
      </c>
      <c r="I834" s="78">
        <f>'Пр. 11'!J136</f>
        <v>0</v>
      </c>
      <c r="J834" s="113">
        <f t="shared" si="67"/>
        <v>0</v>
      </c>
      <c r="K834" s="78">
        <f>'Пр. 11'!L136</f>
        <v>0</v>
      </c>
      <c r="L834" s="78">
        <f>'Пр. 11'!M136</f>
        <v>0</v>
      </c>
    </row>
    <row r="835" spans="1:12" ht="33.75" customHeight="1">
      <c r="A835" s="123" t="s">
        <v>245</v>
      </c>
      <c r="B835" s="112" t="s">
        <v>442</v>
      </c>
      <c r="C835" s="112" t="s">
        <v>338</v>
      </c>
      <c r="D835" s="112" t="s">
        <v>153</v>
      </c>
      <c r="E835" s="112" t="s">
        <v>246</v>
      </c>
      <c r="F835" s="111"/>
      <c r="G835" s="112"/>
      <c r="H835" s="78">
        <f>H836</f>
        <v>178.1</v>
      </c>
      <c r="I835" s="78">
        <f>I836</f>
        <v>178.1</v>
      </c>
      <c r="J835" s="113">
        <f t="shared" si="67"/>
        <v>0</v>
      </c>
      <c r="K835" s="78">
        <f>K836</f>
        <v>0</v>
      </c>
      <c r="L835" s="78">
        <f>L836</f>
        <v>0</v>
      </c>
    </row>
    <row r="836" spans="1:12" ht="36" customHeight="1">
      <c r="A836" s="121" t="s">
        <v>763</v>
      </c>
      <c r="B836" s="112" t="s">
        <v>442</v>
      </c>
      <c r="C836" s="112" t="s">
        <v>338</v>
      </c>
      <c r="D836" s="112" t="s">
        <v>153</v>
      </c>
      <c r="E836" s="112" t="s">
        <v>246</v>
      </c>
      <c r="F836" s="111" t="s">
        <v>764</v>
      </c>
      <c r="G836" s="112"/>
      <c r="H836" s="78">
        <f>H837</f>
        <v>178.1</v>
      </c>
      <c r="I836" s="78">
        <f>I837</f>
        <v>178.1</v>
      </c>
      <c r="J836" s="113">
        <f t="shared" si="67"/>
        <v>0</v>
      </c>
      <c r="K836" s="78">
        <f>K837</f>
        <v>0</v>
      </c>
      <c r="L836" s="78">
        <f>L837</f>
        <v>0</v>
      </c>
    </row>
    <row r="837" spans="1:12" ht="23.25" customHeight="1">
      <c r="A837" s="376" t="s">
        <v>90</v>
      </c>
      <c r="B837" s="112" t="s">
        <v>442</v>
      </c>
      <c r="C837" s="112" t="s">
        <v>338</v>
      </c>
      <c r="D837" s="112" t="s">
        <v>153</v>
      </c>
      <c r="E837" s="112" t="s">
        <v>246</v>
      </c>
      <c r="F837" s="111" t="s">
        <v>764</v>
      </c>
      <c r="G837" s="112" t="s">
        <v>91</v>
      </c>
      <c r="H837" s="78">
        <f>'Пр. 11'!I995</f>
        <v>178.1</v>
      </c>
      <c r="I837" s="78">
        <f>'Пр. 11'!J995</f>
        <v>178.1</v>
      </c>
      <c r="J837" s="113">
        <f t="shared" si="67"/>
        <v>0</v>
      </c>
      <c r="K837" s="78">
        <f>'Пр. 11'!L995</f>
        <v>0</v>
      </c>
      <c r="L837" s="78">
        <f>'Пр. 11'!M995</f>
        <v>0</v>
      </c>
    </row>
    <row r="838" spans="1:12" ht="39" customHeight="1">
      <c r="A838" s="373" t="s">
        <v>263</v>
      </c>
      <c r="B838" s="112" t="s">
        <v>442</v>
      </c>
      <c r="C838" s="112" t="s">
        <v>338</v>
      </c>
      <c r="D838" s="111" t="s">
        <v>153</v>
      </c>
      <c r="E838" s="112" t="s">
        <v>264</v>
      </c>
      <c r="F838" s="111"/>
      <c r="G838" s="112"/>
      <c r="H838" s="78">
        <f>H839</f>
        <v>219.9</v>
      </c>
      <c r="I838" s="78">
        <f>I839</f>
        <v>219.9</v>
      </c>
      <c r="J838" s="113">
        <f t="shared" si="67"/>
        <v>0</v>
      </c>
      <c r="K838" s="78">
        <f>K839</f>
        <v>0</v>
      </c>
      <c r="L838" s="78">
        <f>L839</f>
        <v>0</v>
      </c>
    </row>
    <row r="839" spans="1:12" ht="36" customHeight="1">
      <c r="A839" s="121" t="s">
        <v>763</v>
      </c>
      <c r="B839" s="112" t="s">
        <v>442</v>
      </c>
      <c r="C839" s="112" t="s">
        <v>338</v>
      </c>
      <c r="D839" s="111" t="s">
        <v>153</v>
      </c>
      <c r="E839" s="112" t="s">
        <v>264</v>
      </c>
      <c r="F839" s="111" t="s">
        <v>764</v>
      </c>
      <c r="G839" s="112"/>
      <c r="H839" s="78">
        <f>H840</f>
        <v>219.9</v>
      </c>
      <c r="I839" s="78">
        <f>I840</f>
        <v>219.9</v>
      </c>
      <c r="J839" s="113">
        <f t="shared" si="67"/>
        <v>0</v>
      </c>
      <c r="K839" s="78">
        <f>K840</f>
        <v>0</v>
      </c>
      <c r="L839" s="78">
        <f>L840</f>
        <v>0</v>
      </c>
    </row>
    <row r="840" spans="1:12" ht="23.25" customHeight="1">
      <c r="A840" s="22" t="s">
        <v>92</v>
      </c>
      <c r="B840" s="112" t="s">
        <v>442</v>
      </c>
      <c r="C840" s="112" t="s">
        <v>338</v>
      </c>
      <c r="D840" s="111" t="s">
        <v>153</v>
      </c>
      <c r="E840" s="112" t="s">
        <v>264</v>
      </c>
      <c r="F840" s="111" t="s">
        <v>764</v>
      </c>
      <c r="G840" s="112" t="s">
        <v>93</v>
      </c>
      <c r="H840" s="78">
        <f>'Пр. 11'!I1047</f>
        <v>219.9</v>
      </c>
      <c r="I840" s="78">
        <f>'Пр. 11'!J1047</f>
        <v>219.9</v>
      </c>
      <c r="J840" s="113">
        <f t="shared" si="67"/>
        <v>0</v>
      </c>
      <c r="K840" s="78">
        <f>'Пр. 11'!L1047</f>
        <v>0</v>
      </c>
      <c r="L840" s="78">
        <f>'Пр. 11'!M1047</f>
        <v>0</v>
      </c>
    </row>
    <row r="841" spans="1:12" ht="30.75" customHeight="1" hidden="1">
      <c r="A841" s="114" t="s">
        <v>380</v>
      </c>
      <c r="B841" s="112" t="s">
        <v>442</v>
      </c>
      <c r="C841" s="112" t="s">
        <v>338</v>
      </c>
      <c r="D841" s="111" t="s">
        <v>153</v>
      </c>
      <c r="E841" s="112" t="s">
        <v>381</v>
      </c>
      <c r="F841" s="111"/>
      <c r="G841" s="112"/>
      <c r="H841" s="78">
        <f>H842</f>
        <v>0</v>
      </c>
      <c r="I841" s="78">
        <f>I842</f>
        <v>0</v>
      </c>
      <c r="J841" s="113">
        <f t="shared" si="67"/>
        <v>0</v>
      </c>
      <c r="K841" s="78">
        <f>K842</f>
        <v>0</v>
      </c>
      <c r="L841" s="78">
        <f>L842</f>
        <v>0</v>
      </c>
    </row>
    <row r="842" spans="1:12" ht="30" customHeight="1" hidden="1">
      <c r="A842" s="22" t="s">
        <v>763</v>
      </c>
      <c r="B842" s="112" t="s">
        <v>442</v>
      </c>
      <c r="C842" s="112" t="s">
        <v>338</v>
      </c>
      <c r="D842" s="111" t="s">
        <v>153</v>
      </c>
      <c r="E842" s="112" t="s">
        <v>381</v>
      </c>
      <c r="F842" s="111" t="s">
        <v>764</v>
      </c>
      <c r="G842" s="112"/>
      <c r="H842" s="78">
        <f>H843</f>
        <v>0</v>
      </c>
      <c r="I842" s="78">
        <f>I843</f>
        <v>0</v>
      </c>
      <c r="J842" s="113">
        <f t="shared" si="67"/>
        <v>0</v>
      </c>
      <c r="K842" s="78">
        <f>K843</f>
        <v>0</v>
      </c>
      <c r="L842" s="78">
        <f>L843</f>
        <v>0</v>
      </c>
    </row>
    <row r="843" spans="1:12" ht="24" customHeight="1" hidden="1">
      <c r="A843" s="22" t="s">
        <v>92</v>
      </c>
      <c r="B843" s="112" t="s">
        <v>442</v>
      </c>
      <c r="C843" s="112" t="s">
        <v>338</v>
      </c>
      <c r="D843" s="111" t="s">
        <v>153</v>
      </c>
      <c r="E843" s="112" t="s">
        <v>381</v>
      </c>
      <c r="F843" s="111" t="s">
        <v>764</v>
      </c>
      <c r="G843" s="112" t="s">
        <v>101</v>
      </c>
      <c r="H843" s="78">
        <f>'Пр. 11'!I1138</f>
        <v>0</v>
      </c>
      <c r="I843" s="78">
        <f>'Пр. 11'!J1138</f>
        <v>0</v>
      </c>
      <c r="J843" s="113">
        <f t="shared" si="67"/>
        <v>0</v>
      </c>
      <c r="K843" s="78">
        <f>'Пр. 11'!L1138</f>
        <v>0</v>
      </c>
      <c r="L843" s="78">
        <f>'Пр. 11'!M1138</f>
        <v>0</v>
      </c>
    </row>
    <row r="844" spans="1:12" ht="33" customHeight="1">
      <c r="A844" s="114" t="s">
        <v>446</v>
      </c>
      <c r="B844" s="112" t="s">
        <v>442</v>
      </c>
      <c r="C844" s="129">
        <v>9</v>
      </c>
      <c r="D844" s="112" t="s">
        <v>153</v>
      </c>
      <c r="E844" s="112" t="s">
        <v>447</v>
      </c>
      <c r="F844" s="129"/>
      <c r="G844" s="112"/>
      <c r="H844" s="78">
        <f>H845</f>
        <v>8347.500000000002</v>
      </c>
      <c r="I844" s="78">
        <f>I845</f>
        <v>8347.500000000002</v>
      </c>
      <c r="J844" s="113">
        <f t="shared" si="67"/>
        <v>0</v>
      </c>
      <c r="K844" s="78">
        <f>K845</f>
        <v>25000</v>
      </c>
      <c r="L844" s="78">
        <f>L845</f>
        <v>25000</v>
      </c>
    </row>
    <row r="845" spans="1:12" ht="21" customHeight="1">
      <c r="A845" s="114" t="s">
        <v>759</v>
      </c>
      <c r="B845" s="112" t="s">
        <v>442</v>
      </c>
      <c r="C845" s="129">
        <v>9</v>
      </c>
      <c r="D845" s="112" t="s">
        <v>153</v>
      </c>
      <c r="E845" s="112" t="s">
        <v>447</v>
      </c>
      <c r="F845" s="129">
        <v>800</v>
      </c>
      <c r="G845" s="112"/>
      <c r="H845" s="78">
        <f>H846</f>
        <v>8347.500000000002</v>
      </c>
      <c r="I845" s="78">
        <f>I846</f>
        <v>8347.500000000002</v>
      </c>
      <c r="J845" s="113">
        <f t="shared" si="67"/>
        <v>0</v>
      </c>
      <c r="K845" s="78">
        <f>K846</f>
        <v>25000</v>
      </c>
      <c r="L845" s="78">
        <f>L846</f>
        <v>25000</v>
      </c>
    </row>
    <row r="846" spans="1:12" ht="21.75" customHeight="1">
      <c r="A846" s="114" t="s">
        <v>448</v>
      </c>
      <c r="B846" s="112" t="s">
        <v>442</v>
      </c>
      <c r="C846" s="129">
        <v>9</v>
      </c>
      <c r="D846" s="112" t="s">
        <v>153</v>
      </c>
      <c r="E846" s="112" t="s">
        <v>447</v>
      </c>
      <c r="F846" s="129">
        <v>800</v>
      </c>
      <c r="G846" s="112" t="s">
        <v>55</v>
      </c>
      <c r="H846" s="78">
        <f>'Пр. 11'!I525</f>
        <v>8347.500000000002</v>
      </c>
      <c r="I846" s="78">
        <f>'Пр. 11'!J525</f>
        <v>8347.500000000002</v>
      </c>
      <c r="J846" s="113">
        <f t="shared" si="67"/>
        <v>0</v>
      </c>
      <c r="K846" s="78">
        <f>'Пр. 11'!L525</f>
        <v>25000</v>
      </c>
      <c r="L846" s="78">
        <f>'Пр. 11'!M525</f>
        <v>25000</v>
      </c>
    </row>
    <row r="847" spans="1:12" ht="35.25" customHeight="1">
      <c r="A847" s="114" t="s">
        <v>449</v>
      </c>
      <c r="B847" s="112" t="s">
        <v>442</v>
      </c>
      <c r="C847" s="129">
        <v>9</v>
      </c>
      <c r="D847" s="112" t="s">
        <v>153</v>
      </c>
      <c r="E847" s="112" t="s">
        <v>450</v>
      </c>
      <c r="F847" s="129"/>
      <c r="G847" s="112"/>
      <c r="H847" s="78">
        <f>H848</f>
        <v>300</v>
      </c>
      <c r="I847" s="78">
        <f>I848</f>
        <v>300</v>
      </c>
      <c r="J847" s="113">
        <f t="shared" si="67"/>
        <v>0</v>
      </c>
      <c r="K847" s="78">
        <f>K848</f>
        <v>350</v>
      </c>
      <c r="L847" s="78">
        <f>L848</f>
        <v>400</v>
      </c>
    </row>
    <row r="848" spans="1:12" ht="36.75" customHeight="1">
      <c r="A848" s="114" t="s">
        <v>758</v>
      </c>
      <c r="B848" s="112" t="s">
        <v>442</v>
      </c>
      <c r="C848" s="129">
        <v>9</v>
      </c>
      <c r="D848" s="112" t="s">
        <v>153</v>
      </c>
      <c r="E848" s="112" t="s">
        <v>450</v>
      </c>
      <c r="F848" s="129">
        <v>200</v>
      </c>
      <c r="G848" s="112"/>
      <c r="H848" s="78">
        <f>H849</f>
        <v>300</v>
      </c>
      <c r="I848" s="78">
        <f>I849</f>
        <v>300</v>
      </c>
      <c r="J848" s="113">
        <f t="shared" si="67"/>
        <v>0</v>
      </c>
      <c r="K848" s="78">
        <f>K849</f>
        <v>350</v>
      </c>
      <c r="L848" s="78">
        <f>L849</f>
        <v>400</v>
      </c>
    </row>
    <row r="849" spans="1:12" ht="21" customHeight="1">
      <c r="A849" s="114" t="s">
        <v>56</v>
      </c>
      <c r="B849" s="112" t="s">
        <v>442</v>
      </c>
      <c r="C849" s="129">
        <v>9</v>
      </c>
      <c r="D849" s="112" t="s">
        <v>153</v>
      </c>
      <c r="E849" s="112" t="s">
        <v>450</v>
      </c>
      <c r="F849" s="129">
        <v>200</v>
      </c>
      <c r="G849" s="112" t="s">
        <v>57</v>
      </c>
      <c r="H849" s="78">
        <f>'Пр. 11'!I719</f>
        <v>300</v>
      </c>
      <c r="I849" s="78">
        <f>'Пр. 11'!J719</f>
        <v>300</v>
      </c>
      <c r="J849" s="113">
        <f t="shared" si="67"/>
        <v>0</v>
      </c>
      <c r="K849" s="78">
        <f>'Пр. 11'!L719</f>
        <v>350</v>
      </c>
      <c r="L849" s="78">
        <f>'Пр. 11'!M719</f>
        <v>400</v>
      </c>
    </row>
    <row r="850" spans="1:12" ht="21" customHeight="1" hidden="1">
      <c r="A850" s="114" t="s">
        <v>451</v>
      </c>
      <c r="B850" s="112" t="s">
        <v>442</v>
      </c>
      <c r="C850" s="129">
        <v>9</v>
      </c>
      <c r="D850" s="112" t="s">
        <v>153</v>
      </c>
      <c r="E850" s="112" t="s">
        <v>452</v>
      </c>
      <c r="F850" s="129"/>
      <c r="G850" s="112"/>
      <c r="H850" s="78">
        <f>H851+H853</f>
        <v>0</v>
      </c>
      <c r="I850" s="78">
        <f>I851+I853</f>
        <v>0</v>
      </c>
      <c r="J850" s="113">
        <f t="shared" si="67"/>
        <v>0</v>
      </c>
      <c r="K850" s="78">
        <f>K851+K853</f>
        <v>0</v>
      </c>
      <c r="L850" s="78">
        <f>L851+L853</f>
        <v>0</v>
      </c>
    </row>
    <row r="851" spans="1:12" ht="34.5" customHeight="1" hidden="1">
      <c r="A851" s="114" t="s">
        <v>758</v>
      </c>
      <c r="B851" s="112" t="s">
        <v>442</v>
      </c>
      <c r="C851" s="129">
        <v>9</v>
      </c>
      <c r="D851" s="112" t="s">
        <v>153</v>
      </c>
      <c r="E851" s="112" t="s">
        <v>452</v>
      </c>
      <c r="F851" s="129">
        <v>200</v>
      </c>
      <c r="G851" s="112"/>
      <c r="H851" s="78">
        <f>H852</f>
        <v>0</v>
      </c>
      <c r="I851" s="78">
        <f>I852</f>
        <v>0</v>
      </c>
      <c r="J851" s="113">
        <f t="shared" si="67"/>
        <v>0</v>
      </c>
      <c r="K851" s="78">
        <f>K852</f>
        <v>0</v>
      </c>
      <c r="L851" s="78">
        <f>L852</f>
        <v>0</v>
      </c>
    </row>
    <row r="852" spans="1:12" ht="18.75" customHeight="1" hidden="1">
      <c r="A852" s="114" t="s">
        <v>56</v>
      </c>
      <c r="B852" s="112" t="s">
        <v>442</v>
      </c>
      <c r="C852" s="129">
        <v>9</v>
      </c>
      <c r="D852" s="112" t="s">
        <v>153</v>
      </c>
      <c r="E852" s="112" t="s">
        <v>452</v>
      </c>
      <c r="F852" s="129">
        <v>200</v>
      </c>
      <c r="G852" s="112" t="s">
        <v>57</v>
      </c>
      <c r="H852" s="78">
        <f>'Пр. 11'!I721</f>
        <v>0</v>
      </c>
      <c r="I852" s="78">
        <f>'Пр. 11'!J721</f>
        <v>0</v>
      </c>
      <c r="J852" s="113">
        <f t="shared" si="67"/>
        <v>0</v>
      </c>
      <c r="K852" s="78">
        <f>'Пр. 11'!L721</f>
        <v>0</v>
      </c>
      <c r="L852" s="78">
        <f>'Пр. 11'!M721</f>
        <v>0</v>
      </c>
    </row>
    <row r="853" spans="1:12" ht="17.25" customHeight="1" hidden="1">
      <c r="A853" s="114" t="s">
        <v>759</v>
      </c>
      <c r="B853" s="112" t="s">
        <v>442</v>
      </c>
      <c r="C853" s="129">
        <v>9</v>
      </c>
      <c r="D853" s="112" t="s">
        <v>153</v>
      </c>
      <c r="E853" s="112" t="s">
        <v>452</v>
      </c>
      <c r="F853" s="129">
        <v>800</v>
      </c>
      <c r="G853" s="112"/>
      <c r="H853" s="78">
        <f>H854</f>
        <v>0</v>
      </c>
      <c r="I853" s="78">
        <f>I854</f>
        <v>0</v>
      </c>
      <c r="J853" s="113">
        <f t="shared" si="67"/>
        <v>0</v>
      </c>
      <c r="K853" s="78">
        <f>K854</f>
        <v>0</v>
      </c>
      <c r="L853" s="78">
        <f>L854</f>
        <v>0</v>
      </c>
    </row>
    <row r="854" spans="1:12" ht="21" customHeight="1" hidden="1">
      <c r="A854" s="114" t="s">
        <v>56</v>
      </c>
      <c r="B854" s="112" t="s">
        <v>442</v>
      </c>
      <c r="C854" s="129">
        <v>9</v>
      </c>
      <c r="D854" s="112" t="s">
        <v>153</v>
      </c>
      <c r="E854" s="112" t="s">
        <v>452</v>
      </c>
      <c r="F854" s="129">
        <v>800</v>
      </c>
      <c r="G854" s="112" t="s">
        <v>57</v>
      </c>
      <c r="H854" s="78">
        <f>'Пр. 11'!I722</f>
        <v>0</v>
      </c>
      <c r="I854" s="78">
        <f>'Пр. 11'!J722</f>
        <v>0</v>
      </c>
      <c r="J854" s="113">
        <f t="shared" si="67"/>
        <v>0</v>
      </c>
      <c r="K854" s="78">
        <f>'Пр. 11'!L722</f>
        <v>0</v>
      </c>
      <c r="L854" s="78">
        <f>'Пр. 11'!M722</f>
        <v>0</v>
      </c>
    </row>
    <row r="855" spans="1:12" ht="23.25" customHeight="1">
      <c r="A855" s="114" t="s">
        <v>453</v>
      </c>
      <c r="B855" s="112" t="s">
        <v>442</v>
      </c>
      <c r="C855" s="129">
        <v>9</v>
      </c>
      <c r="D855" s="112" t="s">
        <v>153</v>
      </c>
      <c r="E855" s="112" t="s">
        <v>454</v>
      </c>
      <c r="F855" s="129"/>
      <c r="G855" s="112"/>
      <c r="H855" s="78">
        <f>H856</f>
        <v>230</v>
      </c>
      <c r="I855" s="78">
        <f>I856</f>
        <v>230</v>
      </c>
      <c r="J855" s="113">
        <f t="shared" si="67"/>
        <v>0</v>
      </c>
      <c r="K855" s="78">
        <f>K856</f>
        <v>240</v>
      </c>
      <c r="L855" s="78">
        <f>L856</f>
        <v>250</v>
      </c>
    </row>
    <row r="856" spans="1:12" ht="17.25" customHeight="1">
      <c r="A856" s="114" t="s">
        <v>759</v>
      </c>
      <c r="B856" s="112" t="s">
        <v>442</v>
      </c>
      <c r="C856" s="129">
        <v>9</v>
      </c>
      <c r="D856" s="112" t="s">
        <v>153</v>
      </c>
      <c r="E856" s="112" t="s">
        <v>454</v>
      </c>
      <c r="F856" s="129">
        <v>800</v>
      </c>
      <c r="G856" s="112"/>
      <c r="H856" s="78">
        <f>H857</f>
        <v>230</v>
      </c>
      <c r="I856" s="78">
        <f>I857</f>
        <v>230</v>
      </c>
      <c r="J856" s="113">
        <f t="shared" si="67"/>
        <v>0</v>
      </c>
      <c r="K856" s="78">
        <f>K857</f>
        <v>240</v>
      </c>
      <c r="L856" s="78">
        <f>L857</f>
        <v>250</v>
      </c>
    </row>
    <row r="857" spans="1:12" ht="17.25" customHeight="1">
      <c r="A857" s="114" t="s">
        <v>56</v>
      </c>
      <c r="B857" s="112" t="s">
        <v>442</v>
      </c>
      <c r="C857" s="129">
        <v>9</v>
      </c>
      <c r="D857" s="112" t="s">
        <v>153</v>
      </c>
      <c r="E857" s="112" t="s">
        <v>454</v>
      </c>
      <c r="F857" s="129">
        <v>800</v>
      </c>
      <c r="G857" s="112" t="s">
        <v>57</v>
      </c>
      <c r="H857" s="78">
        <f>'Пр. 11'!I815</f>
        <v>230</v>
      </c>
      <c r="I857" s="78">
        <f>'Пр. 11'!J815</f>
        <v>230</v>
      </c>
      <c r="J857" s="113">
        <f t="shared" si="67"/>
        <v>0</v>
      </c>
      <c r="K857" s="78">
        <f>'Пр. 11'!L815</f>
        <v>240</v>
      </c>
      <c r="L857" s="78">
        <f>'Пр. 11'!M815</f>
        <v>250</v>
      </c>
    </row>
    <row r="858" spans="1:12" ht="17.25" customHeight="1">
      <c r="A858" s="114" t="s">
        <v>455</v>
      </c>
      <c r="B858" s="112" t="s">
        <v>442</v>
      </c>
      <c r="C858" s="129">
        <v>9</v>
      </c>
      <c r="D858" s="112" t="s">
        <v>153</v>
      </c>
      <c r="E858" s="112" t="s">
        <v>456</v>
      </c>
      <c r="F858" s="129"/>
      <c r="G858" s="112"/>
      <c r="H858" s="78">
        <f>H859+H861+H863</f>
        <v>2668.2</v>
      </c>
      <c r="I858" s="78">
        <f>I859+I861+I863</f>
        <v>2668.2</v>
      </c>
      <c r="J858" s="113">
        <f t="shared" si="67"/>
        <v>0</v>
      </c>
      <c r="K858" s="78">
        <f>K859+K861+K863</f>
        <v>1421.2</v>
      </c>
      <c r="L858" s="78">
        <f>L859+L861+L863</f>
        <v>1481.2</v>
      </c>
    </row>
    <row r="859" spans="1:12" ht="36.75" customHeight="1">
      <c r="A859" s="114" t="s">
        <v>758</v>
      </c>
      <c r="B859" s="112" t="s">
        <v>442</v>
      </c>
      <c r="C859" s="129">
        <v>9</v>
      </c>
      <c r="D859" s="112" t="s">
        <v>153</v>
      </c>
      <c r="E859" s="112" t="s">
        <v>456</v>
      </c>
      <c r="F859" s="129">
        <v>200</v>
      </c>
      <c r="G859" s="112"/>
      <c r="H859" s="78">
        <f>H860</f>
        <v>1349.5</v>
      </c>
      <c r="I859" s="78">
        <f>I860</f>
        <v>1349.5</v>
      </c>
      <c r="J859" s="113">
        <f t="shared" si="67"/>
        <v>0</v>
      </c>
      <c r="K859" s="78">
        <f>K860</f>
        <v>1331.2</v>
      </c>
      <c r="L859" s="78">
        <f>L860</f>
        <v>1391.2</v>
      </c>
    </row>
    <row r="860" spans="1:12" ht="21.75" customHeight="1">
      <c r="A860" s="114" t="s">
        <v>56</v>
      </c>
      <c r="B860" s="112" t="s">
        <v>442</v>
      </c>
      <c r="C860" s="129">
        <v>9</v>
      </c>
      <c r="D860" s="112" t="s">
        <v>153</v>
      </c>
      <c r="E860" s="112" t="s">
        <v>456</v>
      </c>
      <c r="F860" s="129">
        <v>200</v>
      </c>
      <c r="G860" s="112" t="s">
        <v>57</v>
      </c>
      <c r="H860" s="78">
        <f>'Пр. 11'!I120</f>
        <v>1349.5</v>
      </c>
      <c r="I860" s="78">
        <f>'Пр. 11'!J120</f>
        <v>1349.5</v>
      </c>
      <c r="J860" s="113">
        <f t="shared" si="67"/>
        <v>0</v>
      </c>
      <c r="K860" s="78">
        <f>'Пр. 11'!L120</f>
        <v>1331.2</v>
      </c>
      <c r="L860" s="78">
        <f>'Пр. 11'!M120</f>
        <v>1391.2</v>
      </c>
    </row>
    <row r="861" spans="1:12" ht="18" customHeight="1">
      <c r="A861" s="114" t="s">
        <v>762</v>
      </c>
      <c r="B861" s="112" t="s">
        <v>442</v>
      </c>
      <c r="C861" s="129">
        <v>9</v>
      </c>
      <c r="D861" s="112" t="s">
        <v>153</v>
      </c>
      <c r="E861" s="112" t="s">
        <v>456</v>
      </c>
      <c r="F861" s="129">
        <v>300</v>
      </c>
      <c r="G861" s="112"/>
      <c r="H861" s="78">
        <f>H862</f>
        <v>90</v>
      </c>
      <c r="I861" s="78">
        <f>I862</f>
        <v>90</v>
      </c>
      <c r="J861" s="113">
        <f t="shared" si="67"/>
        <v>0</v>
      </c>
      <c r="K861" s="78">
        <f>K862</f>
        <v>90</v>
      </c>
      <c r="L861" s="78">
        <f>L862</f>
        <v>90</v>
      </c>
    </row>
    <row r="862" spans="1:12" s="3" customFormat="1" ht="22.5" customHeight="1">
      <c r="A862" s="135" t="s">
        <v>56</v>
      </c>
      <c r="B862" s="112" t="s">
        <v>442</v>
      </c>
      <c r="C862" s="129">
        <v>9</v>
      </c>
      <c r="D862" s="112" t="s">
        <v>153</v>
      </c>
      <c r="E862" s="112" t="s">
        <v>456</v>
      </c>
      <c r="F862" s="129">
        <v>300</v>
      </c>
      <c r="G862" s="112" t="s">
        <v>57</v>
      </c>
      <c r="H862" s="131">
        <f>'Пр. 11'!I121</f>
        <v>90</v>
      </c>
      <c r="I862" s="131">
        <f>'Пр. 11'!J121</f>
        <v>90</v>
      </c>
      <c r="J862" s="144">
        <f t="shared" si="67"/>
        <v>0</v>
      </c>
      <c r="K862" s="131">
        <f>'Пр. 11'!L121</f>
        <v>90</v>
      </c>
      <c r="L862" s="131">
        <f>'Пр. 11'!M121</f>
        <v>90</v>
      </c>
    </row>
    <row r="863" spans="1:12" ht="21" customHeight="1">
      <c r="A863" s="114" t="s">
        <v>759</v>
      </c>
      <c r="B863" s="112" t="s">
        <v>442</v>
      </c>
      <c r="C863" s="129">
        <v>9</v>
      </c>
      <c r="D863" s="112" t="s">
        <v>153</v>
      </c>
      <c r="E863" s="112" t="s">
        <v>456</v>
      </c>
      <c r="F863" s="129">
        <v>800</v>
      </c>
      <c r="G863" s="112"/>
      <c r="H863" s="78">
        <f>H864</f>
        <v>1228.7</v>
      </c>
      <c r="I863" s="78">
        <f>I864</f>
        <v>1228.7</v>
      </c>
      <c r="J863" s="113">
        <f t="shared" si="67"/>
        <v>0</v>
      </c>
      <c r="K863" s="78">
        <f>K864</f>
        <v>0</v>
      </c>
      <c r="L863" s="78">
        <f>L864</f>
        <v>0</v>
      </c>
    </row>
    <row r="864" spans="1:12" ht="21.75" customHeight="1">
      <c r="A864" s="114" t="s">
        <v>56</v>
      </c>
      <c r="B864" s="112" t="s">
        <v>442</v>
      </c>
      <c r="C864" s="129">
        <v>9</v>
      </c>
      <c r="D864" s="112" t="s">
        <v>153</v>
      </c>
      <c r="E864" s="112" t="s">
        <v>456</v>
      </c>
      <c r="F864" s="129">
        <v>800</v>
      </c>
      <c r="G864" s="112" t="s">
        <v>57</v>
      </c>
      <c r="H864" s="78">
        <f>'Пр. 11'!I122</f>
        <v>1228.7</v>
      </c>
      <c r="I864" s="78">
        <f>'Пр. 11'!J122</f>
        <v>1228.7</v>
      </c>
      <c r="J864" s="113">
        <f t="shared" si="67"/>
        <v>0</v>
      </c>
      <c r="K864" s="78">
        <f>'Пр. 11'!L122</f>
        <v>0</v>
      </c>
      <c r="L864" s="78">
        <f>'Пр. 11'!M122</f>
        <v>0</v>
      </c>
    </row>
    <row r="865" spans="1:12" ht="21.75" customHeight="1">
      <c r="A865" s="114" t="s">
        <v>1092</v>
      </c>
      <c r="B865" s="112" t="s">
        <v>442</v>
      </c>
      <c r="C865" s="112" t="s">
        <v>338</v>
      </c>
      <c r="D865" s="112" t="s">
        <v>153</v>
      </c>
      <c r="E865" s="112" t="s">
        <v>247</v>
      </c>
      <c r="F865" s="111"/>
      <c r="G865" s="112"/>
      <c r="H865" s="78">
        <f>H866</f>
        <v>176.9</v>
      </c>
      <c r="I865" s="78">
        <f>I866</f>
        <v>176.9</v>
      </c>
      <c r="J865" s="113">
        <f t="shared" si="67"/>
        <v>0</v>
      </c>
      <c r="K865" s="78">
        <f>K866</f>
        <v>0</v>
      </c>
      <c r="L865" s="78">
        <f>L866</f>
        <v>0</v>
      </c>
    </row>
    <row r="866" spans="1:12" ht="31.5" customHeight="1">
      <c r="A866" s="121" t="s">
        <v>763</v>
      </c>
      <c r="B866" s="112" t="s">
        <v>442</v>
      </c>
      <c r="C866" s="112" t="s">
        <v>338</v>
      </c>
      <c r="D866" s="112" t="s">
        <v>153</v>
      </c>
      <c r="E866" s="112" t="s">
        <v>247</v>
      </c>
      <c r="F866" s="111" t="s">
        <v>764</v>
      </c>
      <c r="G866" s="112"/>
      <c r="H866" s="78">
        <f>H867+H868</f>
        <v>176.9</v>
      </c>
      <c r="I866" s="78">
        <f>I867+I868</f>
        <v>176.9</v>
      </c>
      <c r="J866" s="113">
        <f t="shared" si="67"/>
        <v>0</v>
      </c>
      <c r="K866" s="78">
        <f>K867+K868</f>
        <v>0</v>
      </c>
      <c r="L866" s="78">
        <f>L867+L868</f>
        <v>0</v>
      </c>
    </row>
    <row r="867" spans="1:12" ht="21.75" customHeight="1">
      <c r="A867" s="376" t="s">
        <v>90</v>
      </c>
      <c r="B867" s="112" t="s">
        <v>442</v>
      </c>
      <c r="C867" s="112" t="s">
        <v>338</v>
      </c>
      <c r="D867" s="112" t="s">
        <v>153</v>
      </c>
      <c r="E867" s="112" t="s">
        <v>247</v>
      </c>
      <c r="F867" s="111" t="s">
        <v>764</v>
      </c>
      <c r="G867" s="112" t="s">
        <v>91</v>
      </c>
      <c r="H867" s="78">
        <f>'Пр. 11'!I997</f>
        <v>76.9</v>
      </c>
      <c r="I867" s="78">
        <f>'Пр. 11'!J997</f>
        <v>76.9</v>
      </c>
      <c r="J867" s="113">
        <f t="shared" si="67"/>
        <v>0</v>
      </c>
      <c r="K867" s="78">
        <f>'Пр. 11'!L997</f>
        <v>0</v>
      </c>
      <c r="L867" s="78">
        <f>'Пр. 11'!M997</f>
        <v>0</v>
      </c>
    </row>
    <row r="868" spans="1:12" ht="21.75" customHeight="1">
      <c r="A868" s="22" t="s">
        <v>92</v>
      </c>
      <c r="B868" s="112" t="s">
        <v>442</v>
      </c>
      <c r="C868" s="112" t="s">
        <v>338</v>
      </c>
      <c r="D868" s="112" t="s">
        <v>153</v>
      </c>
      <c r="E868" s="112" t="s">
        <v>247</v>
      </c>
      <c r="F868" s="111" t="s">
        <v>764</v>
      </c>
      <c r="G868" s="112" t="s">
        <v>93</v>
      </c>
      <c r="H868" s="78">
        <f>'Пр. 11'!I1049</f>
        <v>100</v>
      </c>
      <c r="I868" s="78">
        <f>'Пр. 11'!J1049</f>
        <v>100</v>
      </c>
      <c r="J868" s="113">
        <f t="shared" si="67"/>
        <v>0</v>
      </c>
      <c r="K868" s="78">
        <f>'Пр. 11'!L1049</f>
        <v>0</v>
      </c>
      <c r="L868" s="78">
        <f>'Пр. 11'!M1049</f>
        <v>0</v>
      </c>
    </row>
    <row r="869" spans="1:12" ht="53.25" customHeight="1" hidden="1">
      <c r="A869" s="114" t="s">
        <v>342</v>
      </c>
      <c r="B869" s="112" t="s">
        <v>442</v>
      </c>
      <c r="C869" s="129">
        <v>9</v>
      </c>
      <c r="D869" s="112" t="s">
        <v>153</v>
      </c>
      <c r="E869" s="112" t="s">
        <v>343</v>
      </c>
      <c r="F869" s="129"/>
      <c r="G869" s="112"/>
      <c r="H869" s="78">
        <f>H870</f>
        <v>0</v>
      </c>
      <c r="I869" s="78">
        <f>I870</f>
        <v>0</v>
      </c>
      <c r="J869" s="113">
        <f t="shared" si="67"/>
        <v>0</v>
      </c>
      <c r="K869" s="78">
        <f>K870</f>
        <v>0</v>
      </c>
      <c r="L869" s="78">
        <f>L870</f>
        <v>0</v>
      </c>
    </row>
    <row r="870" spans="1:12" ht="39" customHeight="1" hidden="1">
      <c r="A870" s="114" t="s">
        <v>763</v>
      </c>
      <c r="B870" s="112" t="s">
        <v>442</v>
      </c>
      <c r="C870" s="129">
        <v>9</v>
      </c>
      <c r="D870" s="112" t="s">
        <v>153</v>
      </c>
      <c r="E870" s="112" t="s">
        <v>343</v>
      </c>
      <c r="F870" s="129">
        <v>600</v>
      </c>
      <c r="G870" s="112"/>
      <c r="H870" s="78">
        <f>H871</f>
        <v>0</v>
      </c>
      <c r="I870" s="78">
        <f>I871</f>
        <v>0</v>
      </c>
      <c r="J870" s="113">
        <f t="shared" si="67"/>
        <v>0</v>
      </c>
      <c r="K870" s="78">
        <f>K871</f>
        <v>0</v>
      </c>
      <c r="L870" s="78">
        <f>L871</f>
        <v>0</v>
      </c>
    </row>
    <row r="871" spans="1:12" ht="25.5" customHeight="1" hidden="1">
      <c r="A871" s="22" t="s">
        <v>92</v>
      </c>
      <c r="B871" s="112" t="s">
        <v>442</v>
      </c>
      <c r="C871" s="129">
        <v>9</v>
      </c>
      <c r="D871" s="112" t="s">
        <v>153</v>
      </c>
      <c r="E871" s="112" t="s">
        <v>343</v>
      </c>
      <c r="F871" s="129">
        <v>600</v>
      </c>
      <c r="G871" s="112" t="s">
        <v>93</v>
      </c>
      <c r="H871" s="78">
        <f>'Пр. 11'!I1051</f>
        <v>0</v>
      </c>
      <c r="I871" s="78">
        <f>'Пр. 11'!J1051</f>
        <v>0</v>
      </c>
      <c r="J871" s="113">
        <f t="shared" si="67"/>
        <v>0</v>
      </c>
      <c r="K871" s="78">
        <f>'Пр. 11'!L1051</f>
        <v>0</v>
      </c>
      <c r="L871" s="78">
        <f>'Пр. 11'!M1051</f>
        <v>0</v>
      </c>
    </row>
    <row r="872" spans="1:12" ht="66" customHeight="1" hidden="1">
      <c r="A872" s="22" t="s">
        <v>457</v>
      </c>
      <c r="B872" s="112" t="s">
        <v>442</v>
      </c>
      <c r="C872" s="129">
        <v>9</v>
      </c>
      <c r="D872" s="112" t="s">
        <v>153</v>
      </c>
      <c r="E872" s="112" t="s">
        <v>458</v>
      </c>
      <c r="F872" s="129"/>
      <c r="G872" s="112"/>
      <c r="H872" s="78">
        <f>H873</f>
        <v>0</v>
      </c>
      <c r="I872" s="78">
        <f>I873</f>
        <v>0</v>
      </c>
      <c r="J872" s="113">
        <f t="shared" si="67"/>
        <v>0</v>
      </c>
      <c r="K872" s="78">
        <f>K873</f>
        <v>0</v>
      </c>
      <c r="L872" s="78">
        <f>L873</f>
        <v>0</v>
      </c>
    </row>
    <row r="873" spans="1:12" ht="36.75" customHeight="1" hidden="1">
      <c r="A873" s="22" t="s">
        <v>758</v>
      </c>
      <c r="B873" s="112" t="s">
        <v>442</v>
      </c>
      <c r="C873" s="129">
        <v>9</v>
      </c>
      <c r="D873" s="112" t="s">
        <v>153</v>
      </c>
      <c r="E873" s="112" t="s">
        <v>458</v>
      </c>
      <c r="F873" s="129">
        <v>200</v>
      </c>
      <c r="G873" s="112"/>
      <c r="H873" s="78">
        <f>H874</f>
        <v>0</v>
      </c>
      <c r="I873" s="78">
        <f>I874</f>
        <v>0</v>
      </c>
      <c r="J873" s="113">
        <f t="shared" si="67"/>
        <v>0</v>
      </c>
      <c r="K873" s="78">
        <f>K874</f>
        <v>0</v>
      </c>
      <c r="L873" s="78">
        <f>L874</f>
        <v>0</v>
      </c>
    </row>
    <row r="874" spans="1:12" ht="25.5" customHeight="1" hidden="1">
      <c r="A874" s="22" t="s">
        <v>80</v>
      </c>
      <c r="B874" s="112" t="s">
        <v>442</v>
      </c>
      <c r="C874" s="129">
        <v>9</v>
      </c>
      <c r="D874" s="112" t="s">
        <v>153</v>
      </c>
      <c r="E874" s="112" t="s">
        <v>458</v>
      </c>
      <c r="F874" s="129">
        <v>200</v>
      </c>
      <c r="G874" s="112" t="s">
        <v>81</v>
      </c>
      <c r="H874" s="78">
        <f>'Пр. 11'!I284</f>
        <v>0</v>
      </c>
      <c r="I874" s="78">
        <f>'Пр. 11'!J284</f>
        <v>0</v>
      </c>
      <c r="J874" s="113">
        <f t="shared" si="67"/>
        <v>0</v>
      </c>
      <c r="K874" s="78">
        <f>'Пр. 11'!L284</f>
        <v>0</v>
      </c>
      <c r="L874" s="78">
        <f>'Пр. 11'!M284</f>
        <v>0</v>
      </c>
    </row>
    <row r="875" spans="1:12" ht="38.25" customHeight="1">
      <c r="A875" s="114" t="s">
        <v>459</v>
      </c>
      <c r="B875" s="112" t="s">
        <v>442</v>
      </c>
      <c r="C875" s="129">
        <v>9</v>
      </c>
      <c r="D875" s="112" t="s">
        <v>153</v>
      </c>
      <c r="E875" s="112" t="s">
        <v>460</v>
      </c>
      <c r="F875" s="129"/>
      <c r="G875" s="112"/>
      <c r="H875" s="78">
        <f>H876+H878</f>
        <v>104</v>
      </c>
      <c r="I875" s="78">
        <f>I876+I878</f>
        <v>104</v>
      </c>
      <c r="J875" s="113">
        <f t="shared" si="67"/>
        <v>0</v>
      </c>
      <c r="K875" s="78">
        <f>K876+K878</f>
        <v>108</v>
      </c>
      <c r="L875" s="78">
        <f>L876+L878</f>
        <v>113</v>
      </c>
    </row>
    <row r="876" spans="1:12" ht="34.5" customHeight="1">
      <c r="A876" s="114" t="s">
        <v>758</v>
      </c>
      <c r="B876" s="112" t="s">
        <v>442</v>
      </c>
      <c r="C876" s="129">
        <v>9</v>
      </c>
      <c r="D876" s="112" t="s">
        <v>153</v>
      </c>
      <c r="E876" s="112" t="s">
        <v>460</v>
      </c>
      <c r="F876" s="129">
        <v>200</v>
      </c>
      <c r="G876" s="112"/>
      <c r="H876" s="78">
        <f>H877</f>
        <v>104</v>
      </c>
      <c r="I876" s="78">
        <f>I877</f>
        <v>104</v>
      </c>
      <c r="J876" s="113">
        <f t="shared" si="67"/>
        <v>0</v>
      </c>
      <c r="K876" s="78">
        <f>K877</f>
        <v>108</v>
      </c>
      <c r="L876" s="78">
        <f>L877</f>
        <v>113</v>
      </c>
    </row>
    <row r="877" spans="1:12" ht="22.5" customHeight="1">
      <c r="A877" s="22" t="s">
        <v>56</v>
      </c>
      <c r="B877" s="112" t="s">
        <v>442</v>
      </c>
      <c r="C877" s="129">
        <v>9</v>
      </c>
      <c r="D877" s="112" t="s">
        <v>153</v>
      </c>
      <c r="E877" s="112" t="s">
        <v>460</v>
      </c>
      <c r="F877" s="129">
        <v>200</v>
      </c>
      <c r="G877" s="112" t="s">
        <v>57</v>
      </c>
      <c r="H877" s="78">
        <f>'Пр. 11'!I817</f>
        <v>104</v>
      </c>
      <c r="I877" s="78">
        <f>'Пр. 11'!J817</f>
        <v>104</v>
      </c>
      <c r="J877" s="113">
        <f t="shared" si="67"/>
        <v>0</v>
      </c>
      <c r="K877" s="78">
        <f>'Пр. 11'!L817</f>
        <v>108</v>
      </c>
      <c r="L877" s="78">
        <f>'Пр. 11'!M817</f>
        <v>113</v>
      </c>
    </row>
    <row r="878" spans="1:12" ht="24" customHeight="1" hidden="1">
      <c r="A878" s="114" t="s">
        <v>762</v>
      </c>
      <c r="B878" s="112" t="s">
        <v>442</v>
      </c>
      <c r="C878" s="129">
        <v>9</v>
      </c>
      <c r="D878" s="112" t="s">
        <v>153</v>
      </c>
      <c r="E878" s="112" t="s">
        <v>460</v>
      </c>
      <c r="F878" s="129">
        <v>300</v>
      </c>
      <c r="G878" s="112"/>
      <c r="H878" s="78">
        <f>H879</f>
        <v>0</v>
      </c>
      <c r="I878" s="78">
        <f>I879</f>
        <v>0</v>
      </c>
      <c r="J878" s="113">
        <f t="shared" si="67"/>
        <v>0</v>
      </c>
      <c r="K878" s="78">
        <f>K879</f>
        <v>0</v>
      </c>
      <c r="L878" s="78">
        <f>L879</f>
        <v>0</v>
      </c>
    </row>
    <row r="879" spans="1:12" ht="18.75" customHeight="1" hidden="1">
      <c r="A879" s="22" t="s">
        <v>56</v>
      </c>
      <c r="B879" s="112" t="s">
        <v>442</v>
      </c>
      <c r="C879" s="129">
        <v>9</v>
      </c>
      <c r="D879" s="112" t="s">
        <v>153</v>
      </c>
      <c r="E879" s="112" t="s">
        <v>460</v>
      </c>
      <c r="F879" s="129">
        <v>300</v>
      </c>
      <c r="G879" s="112" t="s">
        <v>57</v>
      </c>
      <c r="H879" s="78">
        <f>'Пр. 11'!I818</f>
        <v>0</v>
      </c>
      <c r="I879" s="78">
        <f>'Пр. 11'!J818</f>
        <v>0</v>
      </c>
      <c r="J879" s="113">
        <f t="shared" si="67"/>
        <v>0</v>
      </c>
      <c r="K879" s="78">
        <f>'Пр. 11'!L818</f>
        <v>0</v>
      </c>
      <c r="L879" s="78">
        <f>'Пр. 11'!M818</f>
        <v>0</v>
      </c>
    </row>
    <row r="880" spans="1:12" ht="26.25" customHeight="1" hidden="1">
      <c r="A880" s="114" t="s">
        <v>461</v>
      </c>
      <c r="B880" s="112" t="s">
        <v>442</v>
      </c>
      <c r="C880" s="129">
        <v>9</v>
      </c>
      <c r="D880" s="112" t="s">
        <v>153</v>
      </c>
      <c r="E880" s="112" t="s">
        <v>462</v>
      </c>
      <c r="F880" s="129"/>
      <c r="G880" s="112"/>
      <c r="H880" s="78">
        <f>H881</f>
        <v>0</v>
      </c>
      <c r="I880" s="78">
        <f>I881</f>
        <v>0</v>
      </c>
      <c r="J880" s="113">
        <f t="shared" si="67"/>
        <v>0</v>
      </c>
      <c r="K880" s="78">
        <f>K881</f>
        <v>0</v>
      </c>
      <c r="L880" s="78">
        <f>L881</f>
        <v>0</v>
      </c>
    </row>
    <row r="881" spans="1:12" ht="33.75" customHeight="1" hidden="1">
      <c r="A881" s="114" t="s">
        <v>758</v>
      </c>
      <c r="B881" s="112" t="s">
        <v>442</v>
      </c>
      <c r="C881" s="129">
        <v>9</v>
      </c>
      <c r="D881" s="112" t="s">
        <v>153</v>
      </c>
      <c r="E881" s="112" t="s">
        <v>462</v>
      </c>
      <c r="F881" s="129">
        <v>200</v>
      </c>
      <c r="G881" s="112"/>
      <c r="H881" s="78">
        <f>H882</f>
        <v>0</v>
      </c>
      <c r="I881" s="78">
        <f>I882</f>
        <v>0</v>
      </c>
      <c r="J881" s="113">
        <f t="shared" si="67"/>
        <v>0</v>
      </c>
      <c r="K881" s="78">
        <f>K882</f>
        <v>0</v>
      </c>
      <c r="L881" s="78">
        <f>L882</f>
        <v>0</v>
      </c>
    </row>
    <row r="882" spans="1:12" ht="34.5" customHeight="1" hidden="1">
      <c r="A882" s="22" t="s">
        <v>60</v>
      </c>
      <c r="B882" s="112" t="s">
        <v>442</v>
      </c>
      <c r="C882" s="129">
        <v>9</v>
      </c>
      <c r="D882" s="112" t="s">
        <v>153</v>
      </c>
      <c r="E882" s="112" t="s">
        <v>462</v>
      </c>
      <c r="F882" s="129">
        <v>200</v>
      </c>
      <c r="G882" s="112" t="s">
        <v>61</v>
      </c>
      <c r="H882" s="78">
        <f>'Пр. 11'!I164</f>
        <v>0</v>
      </c>
      <c r="I882" s="78">
        <f>'Пр. 11'!J164</f>
        <v>0</v>
      </c>
      <c r="J882" s="113">
        <f t="shared" si="67"/>
        <v>0</v>
      </c>
      <c r="K882" s="78">
        <f>'Пр. 11'!L164</f>
        <v>0</v>
      </c>
      <c r="L882" s="78">
        <f>'Пр. 11'!M164</f>
        <v>0</v>
      </c>
    </row>
    <row r="883" spans="1:12" ht="20.25" customHeight="1">
      <c r="A883" s="114" t="s">
        <v>463</v>
      </c>
      <c r="B883" s="112" t="s">
        <v>442</v>
      </c>
      <c r="C883" s="129">
        <v>9</v>
      </c>
      <c r="D883" s="112" t="s">
        <v>153</v>
      </c>
      <c r="E883" s="112" t="s">
        <v>464</v>
      </c>
      <c r="F883" s="129"/>
      <c r="G883" s="112"/>
      <c r="H883" s="78">
        <f>H884</f>
        <v>94.9</v>
      </c>
      <c r="I883" s="78">
        <f>I884</f>
        <v>94.9</v>
      </c>
      <c r="J883" s="113">
        <f t="shared" si="67"/>
        <v>0</v>
      </c>
      <c r="K883" s="78">
        <f>K884</f>
        <v>0</v>
      </c>
      <c r="L883" s="78">
        <f>L884</f>
        <v>0</v>
      </c>
    </row>
    <row r="884" spans="1:12" ht="20.25" customHeight="1">
      <c r="A884" s="114" t="s">
        <v>759</v>
      </c>
      <c r="B884" s="112" t="s">
        <v>442</v>
      </c>
      <c r="C884" s="129">
        <v>9</v>
      </c>
      <c r="D884" s="112" t="s">
        <v>153</v>
      </c>
      <c r="E884" s="112" t="s">
        <v>464</v>
      </c>
      <c r="F884" s="129">
        <v>800</v>
      </c>
      <c r="G884" s="112"/>
      <c r="H884" s="78">
        <f>H885</f>
        <v>94.9</v>
      </c>
      <c r="I884" s="78">
        <f>I885</f>
        <v>94.9</v>
      </c>
      <c r="J884" s="113">
        <f t="shared" si="67"/>
        <v>0</v>
      </c>
      <c r="K884" s="78">
        <f>K885</f>
        <v>0</v>
      </c>
      <c r="L884" s="78">
        <f>L885</f>
        <v>0</v>
      </c>
    </row>
    <row r="885" spans="1:12" ht="22.5" customHeight="1">
      <c r="A885" s="22" t="s">
        <v>56</v>
      </c>
      <c r="B885" s="112" t="s">
        <v>442</v>
      </c>
      <c r="C885" s="129">
        <v>9</v>
      </c>
      <c r="D885" s="112" t="s">
        <v>153</v>
      </c>
      <c r="E885" s="112" t="s">
        <v>464</v>
      </c>
      <c r="F885" s="129">
        <v>800</v>
      </c>
      <c r="G885" s="112" t="s">
        <v>57</v>
      </c>
      <c r="H885" s="78">
        <f>'Пр. 11'!I124+'Пр. 11'!I540</f>
        <v>94.9</v>
      </c>
      <c r="I885" s="78">
        <f>'Пр. 11'!J124+'Пр. 11'!J540</f>
        <v>94.9</v>
      </c>
      <c r="J885" s="113">
        <f t="shared" si="67"/>
        <v>0</v>
      </c>
      <c r="K885" s="78">
        <f>'Пр. 11'!L124+'Пр. 11'!L540</f>
        <v>0</v>
      </c>
      <c r="L885" s="78">
        <f>'Пр. 11'!M124+'Пр. 11'!M540</f>
        <v>0</v>
      </c>
    </row>
    <row r="886" spans="1:12" ht="28.5" customHeight="1" hidden="1">
      <c r="A886" s="22" t="s">
        <v>465</v>
      </c>
      <c r="B886" s="112" t="s">
        <v>442</v>
      </c>
      <c r="C886" s="129">
        <v>9</v>
      </c>
      <c r="D886" s="112" t="s">
        <v>153</v>
      </c>
      <c r="E886" s="112" t="s">
        <v>466</v>
      </c>
      <c r="F886" s="129"/>
      <c r="G886" s="112"/>
      <c r="H886" s="78">
        <f>H887</f>
        <v>0</v>
      </c>
      <c r="I886" s="78">
        <f>I887</f>
        <v>0</v>
      </c>
      <c r="J886" s="113">
        <f t="shared" si="67"/>
        <v>0</v>
      </c>
      <c r="K886" s="78">
        <f>K887</f>
        <v>0</v>
      </c>
      <c r="L886" s="78">
        <f>L887</f>
        <v>0</v>
      </c>
    </row>
    <row r="887" spans="1:12" ht="24.75" customHeight="1" hidden="1">
      <c r="A887" s="22" t="s">
        <v>758</v>
      </c>
      <c r="B887" s="112" t="s">
        <v>442</v>
      </c>
      <c r="C887" s="129">
        <v>9</v>
      </c>
      <c r="D887" s="112" t="s">
        <v>153</v>
      </c>
      <c r="E887" s="112" t="s">
        <v>466</v>
      </c>
      <c r="F887" s="129">
        <v>200</v>
      </c>
      <c r="G887" s="112"/>
      <c r="H887" s="78">
        <f>H888</f>
        <v>0</v>
      </c>
      <c r="I887" s="78">
        <f>I888</f>
        <v>0</v>
      </c>
      <c r="J887" s="113">
        <f t="shared" si="67"/>
        <v>0</v>
      </c>
      <c r="K887" s="78">
        <f>K888</f>
        <v>0</v>
      </c>
      <c r="L887" s="78">
        <f>L888</f>
        <v>0</v>
      </c>
    </row>
    <row r="888" spans="1:12" ht="24.75" customHeight="1" hidden="1">
      <c r="A888" s="22" t="s">
        <v>72</v>
      </c>
      <c r="B888" s="112" t="s">
        <v>442</v>
      </c>
      <c r="C888" s="129">
        <v>9</v>
      </c>
      <c r="D888" s="112" t="s">
        <v>153</v>
      </c>
      <c r="E888" s="112" t="s">
        <v>466</v>
      </c>
      <c r="F888" s="129">
        <v>200</v>
      </c>
      <c r="G888" s="112" t="s">
        <v>73</v>
      </c>
      <c r="H888" s="78">
        <f>'Пр. 11'!I255</f>
        <v>0</v>
      </c>
      <c r="I888" s="78">
        <f>'Пр. 11'!J255</f>
        <v>0</v>
      </c>
      <c r="J888" s="113">
        <f t="shared" si="67"/>
        <v>0</v>
      </c>
      <c r="K888" s="78">
        <f>'Пр. 11'!L255</f>
        <v>0</v>
      </c>
      <c r="L888" s="78">
        <f>'Пр. 11'!M255</f>
        <v>0</v>
      </c>
    </row>
    <row r="889" spans="1:12" ht="27.75" customHeight="1" hidden="1">
      <c r="A889" s="22" t="s">
        <v>530</v>
      </c>
      <c r="B889" s="111" t="s">
        <v>442</v>
      </c>
      <c r="C889" s="111" t="s">
        <v>338</v>
      </c>
      <c r="D889" s="111" t="s">
        <v>153</v>
      </c>
      <c r="E889" s="111" t="s">
        <v>531</v>
      </c>
      <c r="F889" s="111"/>
      <c r="G889" s="112"/>
      <c r="H889" s="78">
        <f>H890</f>
        <v>0</v>
      </c>
      <c r="I889" s="78">
        <f>I890</f>
        <v>0</v>
      </c>
      <c r="J889" s="113">
        <f t="shared" si="67"/>
        <v>0</v>
      </c>
      <c r="K889" s="78">
        <f>K890</f>
        <v>0</v>
      </c>
      <c r="L889" s="78">
        <f>L890</f>
        <v>0</v>
      </c>
    </row>
    <row r="890" spans="1:12" ht="21" customHeight="1" hidden="1">
      <c r="A890" s="22" t="s">
        <v>758</v>
      </c>
      <c r="B890" s="111" t="s">
        <v>442</v>
      </c>
      <c r="C890" s="111" t="s">
        <v>338</v>
      </c>
      <c r="D890" s="111" t="s">
        <v>153</v>
      </c>
      <c r="E890" s="111" t="s">
        <v>531</v>
      </c>
      <c r="F890" s="111" t="s">
        <v>757</v>
      </c>
      <c r="G890" s="112"/>
      <c r="H890" s="78">
        <f>H891</f>
        <v>0</v>
      </c>
      <c r="I890" s="78">
        <f>I891</f>
        <v>0</v>
      </c>
      <c r="J890" s="113">
        <f t="shared" si="67"/>
        <v>0</v>
      </c>
      <c r="K890" s="78">
        <f>K891</f>
        <v>0</v>
      </c>
      <c r="L890" s="78">
        <f>L891</f>
        <v>0</v>
      </c>
    </row>
    <row r="891" spans="1:12" ht="20.25" customHeight="1" hidden="1">
      <c r="A891" s="22" t="s">
        <v>72</v>
      </c>
      <c r="B891" s="111" t="s">
        <v>442</v>
      </c>
      <c r="C891" s="111" t="s">
        <v>338</v>
      </c>
      <c r="D891" s="111" t="s">
        <v>153</v>
      </c>
      <c r="E891" s="111" t="s">
        <v>531</v>
      </c>
      <c r="F891" s="111" t="s">
        <v>757</v>
      </c>
      <c r="G891" s="112" t="s">
        <v>73</v>
      </c>
      <c r="H891" s="78">
        <f>'Пр. 11'!I257</f>
        <v>0</v>
      </c>
      <c r="I891" s="78">
        <f>'Пр. 11'!J257</f>
        <v>0</v>
      </c>
      <c r="J891" s="113">
        <f t="shared" si="67"/>
        <v>0</v>
      </c>
      <c r="K891" s="78">
        <f>'Пр. 11'!L257</f>
        <v>0</v>
      </c>
      <c r="L891" s="78">
        <f>'Пр. 11'!M257</f>
        <v>0</v>
      </c>
    </row>
    <row r="892" spans="1:12" ht="27.75" customHeight="1" hidden="1">
      <c r="A892" s="114" t="s">
        <v>467</v>
      </c>
      <c r="B892" s="112" t="s">
        <v>442</v>
      </c>
      <c r="C892" s="129">
        <v>9</v>
      </c>
      <c r="D892" s="112" t="s">
        <v>153</v>
      </c>
      <c r="E892" s="112" t="s">
        <v>468</v>
      </c>
      <c r="F892" s="129"/>
      <c r="G892" s="112"/>
      <c r="H892" s="78">
        <f>H893</f>
        <v>0</v>
      </c>
      <c r="I892" s="78">
        <f>I893</f>
        <v>0</v>
      </c>
      <c r="J892" s="113">
        <f t="shared" si="67"/>
        <v>0</v>
      </c>
      <c r="K892" s="78">
        <f>K893</f>
        <v>0</v>
      </c>
      <c r="L892" s="78">
        <f>L893</f>
        <v>0</v>
      </c>
    </row>
    <row r="893" spans="1:12" ht="28.5" customHeight="1" hidden="1">
      <c r="A893" s="114" t="s">
        <v>758</v>
      </c>
      <c r="B893" s="112" t="s">
        <v>442</v>
      </c>
      <c r="C893" s="129">
        <v>9</v>
      </c>
      <c r="D893" s="112" t="s">
        <v>153</v>
      </c>
      <c r="E893" s="112" t="s">
        <v>468</v>
      </c>
      <c r="F893" s="129">
        <v>200</v>
      </c>
      <c r="G893" s="112"/>
      <c r="H893" s="78">
        <f>H894</f>
        <v>0</v>
      </c>
      <c r="I893" s="78">
        <f>I894</f>
        <v>0</v>
      </c>
      <c r="J893" s="113">
        <f t="shared" si="67"/>
        <v>0</v>
      </c>
      <c r="K893" s="78">
        <f>K894</f>
        <v>0</v>
      </c>
      <c r="L893" s="78">
        <f>L894</f>
        <v>0</v>
      </c>
    </row>
    <row r="894" spans="1:12" ht="25.5" customHeight="1" hidden="1">
      <c r="A894" s="22" t="s">
        <v>56</v>
      </c>
      <c r="B894" s="112" t="s">
        <v>442</v>
      </c>
      <c r="C894" s="129">
        <v>9</v>
      </c>
      <c r="D894" s="112" t="s">
        <v>153</v>
      </c>
      <c r="E894" s="112" t="s">
        <v>468</v>
      </c>
      <c r="F894" s="129">
        <v>200</v>
      </c>
      <c r="G894" s="112" t="s">
        <v>57</v>
      </c>
      <c r="H894" s="78">
        <f>'Пр. 11'!I126</f>
        <v>0</v>
      </c>
      <c r="I894" s="78">
        <f>'Пр. 11'!J126</f>
        <v>0</v>
      </c>
      <c r="J894" s="113">
        <f t="shared" si="67"/>
        <v>0</v>
      </c>
      <c r="K894" s="78">
        <f>'Пр. 11'!L126</f>
        <v>0</v>
      </c>
      <c r="L894" s="78">
        <f>'Пр. 11'!M126</f>
        <v>0</v>
      </c>
    </row>
    <row r="895" spans="1:12" ht="23.25" customHeight="1">
      <c r="A895" s="114" t="s">
        <v>469</v>
      </c>
      <c r="B895" s="112" t="s">
        <v>442</v>
      </c>
      <c r="C895" s="129">
        <v>9</v>
      </c>
      <c r="D895" s="112" t="s">
        <v>153</v>
      </c>
      <c r="E895" s="112" t="s">
        <v>470</v>
      </c>
      <c r="F895" s="129"/>
      <c r="G895" s="112"/>
      <c r="H895" s="78">
        <f>H896</f>
        <v>0</v>
      </c>
      <c r="I895" s="78">
        <f>I896</f>
        <v>0</v>
      </c>
      <c r="J895" s="113">
        <f t="shared" si="67"/>
        <v>0</v>
      </c>
      <c r="K895" s="78">
        <f>K896</f>
        <v>33.6</v>
      </c>
      <c r="L895" s="78">
        <f>L896</f>
        <v>0</v>
      </c>
    </row>
    <row r="896" spans="1:12" ht="37.5" customHeight="1">
      <c r="A896" s="114" t="s">
        <v>758</v>
      </c>
      <c r="B896" s="112" t="s">
        <v>442</v>
      </c>
      <c r="C896" s="129">
        <v>9</v>
      </c>
      <c r="D896" s="112" t="s">
        <v>153</v>
      </c>
      <c r="E896" s="112" t="s">
        <v>470</v>
      </c>
      <c r="F896" s="129">
        <v>200</v>
      </c>
      <c r="G896" s="112"/>
      <c r="H896" s="78">
        <f>H897</f>
        <v>0</v>
      </c>
      <c r="I896" s="78">
        <f>I897</f>
        <v>0</v>
      </c>
      <c r="J896" s="113">
        <f t="shared" si="67"/>
        <v>0</v>
      </c>
      <c r="K896" s="78">
        <f>K897</f>
        <v>33.6</v>
      </c>
      <c r="L896" s="78">
        <f>L897</f>
        <v>0</v>
      </c>
    </row>
    <row r="897" spans="1:12" ht="21.75" customHeight="1">
      <c r="A897" s="22" t="s">
        <v>66</v>
      </c>
      <c r="B897" s="112" t="s">
        <v>442</v>
      </c>
      <c r="C897" s="129">
        <v>9</v>
      </c>
      <c r="D897" s="112" t="s">
        <v>153</v>
      </c>
      <c r="E897" s="112" t="s">
        <v>470</v>
      </c>
      <c r="F897" s="129">
        <v>200</v>
      </c>
      <c r="G897" s="112" t="s">
        <v>67</v>
      </c>
      <c r="H897" s="78">
        <f>'Пр. 11'!I203</f>
        <v>0</v>
      </c>
      <c r="I897" s="78">
        <f>'Пр. 11'!J203</f>
        <v>0</v>
      </c>
      <c r="J897" s="113">
        <f t="shared" si="67"/>
        <v>0</v>
      </c>
      <c r="K897" s="78">
        <f>'Пр. 11'!L203</f>
        <v>33.6</v>
      </c>
      <c r="L897" s="78">
        <f>'Пр. 11'!M203</f>
        <v>0</v>
      </c>
    </row>
    <row r="898" spans="1:12" ht="21" customHeight="1">
      <c r="A898" s="114" t="s">
        <v>472</v>
      </c>
      <c r="B898" s="112" t="s">
        <v>442</v>
      </c>
      <c r="C898" s="129">
        <v>9</v>
      </c>
      <c r="D898" s="112" t="s">
        <v>153</v>
      </c>
      <c r="E898" s="112" t="s">
        <v>473</v>
      </c>
      <c r="F898" s="129"/>
      <c r="G898" s="112"/>
      <c r="H898" s="78">
        <f>H899</f>
        <v>400</v>
      </c>
      <c r="I898" s="78">
        <f>I899</f>
        <v>400</v>
      </c>
      <c r="J898" s="113">
        <f t="shared" si="67"/>
        <v>0</v>
      </c>
      <c r="K898" s="78">
        <f>K899</f>
        <v>700</v>
      </c>
      <c r="L898" s="78">
        <f>L899</f>
        <v>887</v>
      </c>
    </row>
    <row r="899" spans="1:12" ht="33" customHeight="1">
      <c r="A899" s="114" t="s">
        <v>758</v>
      </c>
      <c r="B899" s="112" t="s">
        <v>442</v>
      </c>
      <c r="C899" s="129">
        <v>9</v>
      </c>
      <c r="D899" s="112" t="s">
        <v>153</v>
      </c>
      <c r="E899" s="112" t="s">
        <v>473</v>
      </c>
      <c r="F899" s="129">
        <v>200</v>
      </c>
      <c r="G899" s="112"/>
      <c r="H899" s="78">
        <f>H900</f>
        <v>400</v>
      </c>
      <c r="I899" s="78">
        <f>I900</f>
        <v>400</v>
      </c>
      <c r="J899" s="113">
        <f t="shared" si="67"/>
        <v>0</v>
      </c>
      <c r="K899" s="78">
        <f>K900</f>
        <v>700</v>
      </c>
      <c r="L899" s="78">
        <f>L900</f>
        <v>887</v>
      </c>
    </row>
    <row r="900" spans="1:12" ht="21.75" customHeight="1">
      <c r="A900" s="22" t="s">
        <v>72</v>
      </c>
      <c r="B900" s="112" t="s">
        <v>442</v>
      </c>
      <c r="C900" s="129">
        <v>9</v>
      </c>
      <c r="D900" s="112" t="s">
        <v>153</v>
      </c>
      <c r="E900" s="112" t="s">
        <v>473</v>
      </c>
      <c r="F900" s="129">
        <v>200</v>
      </c>
      <c r="G900" s="112" t="s">
        <v>73</v>
      </c>
      <c r="H900" s="78">
        <f>'Пр. 11'!I740</f>
        <v>400</v>
      </c>
      <c r="I900" s="78">
        <f>'Пр. 11'!J740</f>
        <v>400</v>
      </c>
      <c r="J900" s="113">
        <f t="shared" si="67"/>
        <v>0</v>
      </c>
      <c r="K900" s="78">
        <f>'Пр. 11'!L740</f>
        <v>700</v>
      </c>
      <c r="L900" s="78">
        <f>'Пр. 11'!M740</f>
        <v>887</v>
      </c>
    </row>
    <row r="901" spans="1:12" ht="82.5" customHeight="1">
      <c r="A901" s="114" t="s">
        <v>527</v>
      </c>
      <c r="B901" s="112" t="s">
        <v>442</v>
      </c>
      <c r="C901" s="112" t="s">
        <v>338</v>
      </c>
      <c r="D901" s="112" t="s">
        <v>153</v>
      </c>
      <c r="E901" s="112" t="s">
        <v>526</v>
      </c>
      <c r="F901" s="129"/>
      <c r="G901" s="129"/>
      <c r="H901" s="78">
        <f>H902</f>
        <v>100</v>
      </c>
      <c r="I901" s="78">
        <f>I902</f>
        <v>100</v>
      </c>
      <c r="J901" s="113">
        <f t="shared" si="67"/>
        <v>0</v>
      </c>
      <c r="K901" s="78">
        <f>K902</f>
        <v>100</v>
      </c>
      <c r="L901" s="78">
        <f>L902</f>
        <v>100</v>
      </c>
    </row>
    <row r="902" spans="1:12" ht="33" customHeight="1">
      <c r="A902" s="114" t="s">
        <v>758</v>
      </c>
      <c r="B902" s="112" t="s">
        <v>442</v>
      </c>
      <c r="C902" s="112" t="s">
        <v>338</v>
      </c>
      <c r="D902" s="112" t="s">
        <v>153</v>
      </c>
      <c r="E902" s="112" t="s">
        <v>526</v>
      </c>
      <c r="F902" s="129">
        <v>200</v>
      </c>
      <c r="G902" s="129"/>
      <c r="H902" s="78">
        <f>H903</f>
        <v>100</v>
      </c>
      <c r="I902" s="78">
        <f>I903</f>
        <v>100</v>
      </c>
      <c r="J902" s="113">
        <f aca="true" t="shared" si="68" ref="J902:J983">I902-H902</f>
        <v>0</v>
      </c>
      <c r="K902" s="78">
        <f>K903</f>
        <v>100</v>
      </c>
      <c r="L902" s="78">
        <f>L903</f>
        <v>100</v>
      </c>
    </row>
    <row r="903" spans="1:12" ht="21" customHeight="1">
      <c r="A903" s="114" t="s">
        <v>56</v>
      </c>
      <c r="B903" s="112" t="s">
        <v>442</v>
      </c>
      <c r="C903" s="112" t="s">
        <v>338</v>
      </c>
      <c r="D903" s="112" t="s">
        <v>153</v>
      </c>
      <c r="E903" s="112" t="s">
        <v>526</v>
      </c>
      <c r="F903" s="129">
        <v>200</v>
      </c>
      <c r="G903" s="112" t="s">
        <v>57</v>
      </c>
      <c r="H903" s="78">
        <f>'Пр. 11'!I134</f>
        <v>100</v>
      </c>
      <c r="I903" s="78">
        <f>'Пр. 11'!J134</f>
        <v>100</v>
      </c>
      <c r="J903" s="113">
        <f t="shared" si="68"/>
        <v>0</v>
      </c>
      <c r="K903" s="78">
        <f>'Пр. 11'!L134</f>
        <v>100</v>
      </c>
      <c r="L903" s="78">
        <f>'Пр. 11'!M134</f>
        <v>100</v>
      </c>
    </row>
    <row r="904" spans="1:12" ht="51" customHeight="1">
      <c r="A904" s="145" t="s">
        <v>544</v>
      </c>
      <c r="B904" s="111" t="s">
        <v>442</v>
      </c>
      <c r="C904" s="111" t="s">
        <v>338</v>
      </c>
      <c r="D904" s="111" t="s">
        <v>153</v>
      </c>
      <c r="E904" s="111" t="s">
        <v>542</v>
      </c>
      <c r="F904" s="111"/>
      <c r="G904" s="112"/>
      <c r="H904" s="78">
        <f>H905</f>
        <v>518.8</v>
      </c>
      <c r="I904" s="78">
        <f>I905</f>
        <v>518.8</v>
      </c>
      <c r="J904" s="113">
        <f t="shared" si="68"/>
        <v>0</v>
      </c>
      <c r="K904" s="78">
        <f>K905</f>
        <v>517.4</v>
      </c>
      <c r="L904" s="78">
        <f>L905</f>
        <v>545</v>
      </c>
    </row>
    <row r="905" spans="1:12" ht="33.75" customHeight="1">
      <c r="A905" s="22" t="s">
        <v>758</v>
      </c>
      <c r="B905" s="111" t="s">
        <v>442</v>
      </c>
      <c r="C905" s="111" t="s">
        <v>338</v>
      </c>
      <c r="D905" s="111" t="s">
        <v>153</v>
      </c>
      <c r="E905" s="111" t="s">
        <v>542</v>
      </c>
      <c r="F905" s="111" t="s">
        <v>757</v>
      </c>
      <c r="G905" s="112"/>
      <c r="H905" s="78">
        <f>H906</f>
        <v>518.8</v>
      </c>
      <c r="I905" s="78">
        <f>I906</f>
        <v>518.8</v>
      </c>
      <c r="J905" s="113">
        <f t="shared" si="68"/>
        <v>0</v>
      </c>
      <c r="K905" s="78">
        <f>K906</f>
        <v>517.4</v>
      </c>
      <c r="L905" s="78">
        <f>L906</f>
        <v>545</v>
      </c>
    </row>
    <row r="906" spans="1:12" ht="22.5" customHeight="1">
      <c r="A906" s="146" t="s">
        <v>76</v>
      </c>
      <c r="B906" s="111" t="s">
        <v>442</v>
      </c>
      <c r="C906" s="111" t="s">
        <v>338</v>
      </c>
      <c r="D906" s="111" t="s">
        <v>153</v>
      </c>
      <c r="E906" s="111" t="s">
        <v>542</v>
      </c>
      <c r="F906" s="111" t="s">
        <v>757</v>
      </c>
      <c r="G906" s="112" t="s">
        <v>77</v>
      </c>
      <c r="H906" s="78">
        <f>'Пр. 11'!I268</f>
        <v>518.8</v>
      </c>
      <c r="I906" s="78">
        <f>'Пр. 11'!J268</f>
        <v>518.8</v>
      </c>
      <c r="J906" s="113">
        <f t="shared" si="68"/>
        <v>0</v>
      </c>
      <c r="K906" s="78">
        <f>'Пр. 11'!L268</f>
        <v>517.4</v>
      </c>
      <c r="L906" s="78">
        <f>'Пр. 11'!M268</f>
        <v>545</v>
      </c>
    </row>
    <row r="907" spans="1:12" ht="34.5" customHeight="1">
      <c r="A907" s="145" t="s">
        <v>545</v>
      </c>
      <c r="B907" s="111" t="s">
        <v>442</v>
      </c>
      <c r="C907" s="111" t="s">
        <v>338</v>
      </c>
      <c r="D907" s="111" t="s">
        <v>153</v>
      </c>
      <c r="E907" s="111" t="s">
        <v>543</v>
      </c>
      <c r="F907" s="111"/>
      <c r="G907" s="112"/>
      <c r="H907" s="78">
        <f>H908</f>
        <v>14.3</v>
      </c>
      <c r="I907" s="78">
        <f>I908</f>
        <v>14.3</v>
      </c>
      <c r="J907" s="113">
        <f t="shared" si="68"/>
        <v>0</v>
      </c>
      <c r="K907" s="78">
        <f>K908</f>
        <v>14.3</v>
      </c>
      <c r="L907" s="78">
        <f>L908</f>
        <v>15</v>
      </c>
    </row>
    <row r="908" spans="1:12" ht="30" customHeight="1">
      <c r="A908" s="22" t="s">
        <v>758</v>
      </c>
      <c r="B908" s="111" t="s">
        <v>442</v>
      </c>
      <c r="C908" s="111" t="s">
        <v>338</v>
      </c>
      <c r="D908" s="111" t="s">
        <v>153</v>
      </c>
      <c r="E908" s="111" t="s">
        <v>543</v>
      </c>
      <c r="F908" s="111" t="s">
        <v>757</v>
      </c>
      <c r="G908" s="112"/>
      <c r="H908" s="78">
        <f>H909</f>
        <v>14.3</v>
      </c>
      <c r="I908" s="78">
        <f>I909</f>
        <v>14.3</v>
      </c>
      <c r="J908" s="113">
        <f t="shared" si="68"/>
        <v>0</v>
      </c>
      <c r="K908" s="78">
        <f>K909</f>
        <v>14.3</v>
      </c>
      <c r="L908" s="78">
        <f>L909</f>
        <v>15</v>
      </c>
    </row>
    <row r="909" spans="1:12" ht="23.25" customHeight="1">
      <c r="A909" s="146" t="s">
        <v>76</v>
      </c>
      <c r="B909" s="111" t="s">
        <v>442</v>
      </c>
      <c r="C909" s="111" t="s">
        <v>338</v>
      </c>
      <c r="D909" s="111" t="s">
        <v>153</v>
      </c>
      <c r="E909" s="111" t="s">
        <v>543</v>
      </c>
      <c r="F909" s="111" t="s">
        <v>757</v>
      </c>
      <c r="G909" s="112" t="s">
        <v>77</v>
      </c>
      <c r="H909" s="78">
        <f>'Пр. 11'!I270</f>
        <v>14.3</v>
      </c>
      <c r="I909" s="78">
        <f>'Пр. 11'!J270</f>
        <v>14.3</v>
      </c>
      <c r="J909" s="113">
        <f t="shared" si="68"/>
        <v>0</v>
      </c>
      <c r="K909" s="78">
        <f>'Пр. 11'!L270</f>
        <v>14.3</v>
      </c>
      <c r="L909" s="78">
        <f>'Пр. 11'!M270</f>
        <v>15</v>
      </c>
    </row>
    <row r="910" spans="1:12" ht="39" customHeight="1" hidden="1">
      <c r="A910" s="22" t="s">
        <v>550</v>
      </c>
      <c r="B910" s="111" t="s">
        <v>442</v>
      </c>
      <c r="C910" s="111" t="s">
        <v>338</v>
      </c>
      <c r="D910" s="111" t="s">
        <v>153</v>
      </c>
      <c r="E910" s="111" t="s">
        <v>549</v>
      </c>
      <c r="F910" s="111"/>
      <c r="G910" s="112"/>
      <c r="H910" s="78">
        <f>H911</f>
        <v>0</v>
      </c>
      <c r="I910" s="78">
        <f>I911</f>
        <v>0</v>
      </c>
      <c r="J910" s="113">
        <f t="shared" si="68"/>
        <v>0</v>
      </c>
      <c r="K910" s="78">
        <f>K911</f>
        <v>0</v>
      </c>
      <c r="L910" s="78">
        <f>L911</f>
        <v>0</v>
      </c>
    </row>
    <row r="911" spans="1:12" ht="32.25" customHeight="1" hidden="1">
      <c r="A911" s="22" t="s">
        <v>758</v>
      </c>
      <c r="B911" s="111" t="s">
        <v>442</v>
      </c>
      <c r="C911" s="111" t="s">
        <v>338</v>
      </c>
      <c r="D911" s="111" t="s">
        <v>153</v>
      </c>
      <c r="E911" s="111" t="s">
        <v>549</v>
      </c>
      <c r="F911" s="111" t="s">
        <v>757</v>
      </c>
      <c r="G911" s="112"/>
      <c r="H911" s="78">
        <f>H912</f>
        <v>0</v>
      </c>
      <c r="I911" s="78">
        <f>I912</f>
        <v>0</v>
      </c>
      <c r="J911" s="113">
        <f t="shared" si="68"/>
        <v>0</v>
      </c>
      <c r="K911" s="78">
        <f>K912</f>
        <v>0</v>
      </c>
      <c r="L911" s="78">
        <f>L912</f>
        <v>0</v>
      </c>
    </row>
    <row r="912" spans="1:12" ht="21" customHeight="1" hidden="1">
      <c r="A912" s="22" t="s">
        <v>72</v>
      </c>
      <c r="B912" s="111" t="s">
        <v>442</v>
      </c>
      <c r="C912" s="111" t="s">
        <v>338</v>
      </c>
      <c r="D912" s="111" t="s">
        <v>153</v>
      </c>
      <c r="E912" s="111" t="s">
        <v>549</v>
      </c>
      <c r="F912" s="111" t="s">
        <v>757</v>
      </c>
      <c r="G912" s="112" t="s">
        <v>73</v>
      </c>
      <c r="H912" s="78">
        <f>'Пр. 11'!I259</f>
        <v>0</v>
      </c>
      <c r="I912" s="78">
        <f>'Пр. 11'!J259</f>
        <v>0</v>
      </c>
      <c r="J912" s="113">
        <f t="shared" si="68"/>
        <v>0</v>
      </c>
      <c r="K912" s="78">
        <f>'Пр. 11'!L259</f>
        <v>0</v>
      </c>
      <c r="L912" s="78">
        <f>'Пр. 11'!M259</f>
        <v>0</v>
      </c>
    </row>
    <row r="913" spans="1:12" ht="21.75" customHeight="1" hidden="1">
      <c r="A913" s="119" t="s">
        <v>706</v>
      </c>
      <c r="B913" s="112" t="s">
        <v>442</v>
      </c>
      <c r="C913" s="112" t="s">
        <v>338</v>
      </c>
      <c r="D913" s="111" t="s">
        <v>153</v>
      </c>
      <c r="E913" s="112" t="s">
        <v>705</v>
      </c>
      <c r="F913" s="143"/>
      <c r="G913" s="112"/>
      <c r="H913" s="78">
        <f>H914</f>
        <v>0</v>
      </c>
      <c r="I913" s="78">
        <f>I914</f>
        <v>0</v>
      </c>
      <c r="J913" s="113">
        <f t="shared" si="68"/>
        <v>0</v>
      </c>
      <c r="K913" s="78">
        <f>K914</f>
        <v>0</v>
      </c>
      <c r="L913" s="78">
        <f>L914</f>
        <v>0</v>
      </c>
    </row>
    <row r="914" spans="1:12" ht="31.5" customHeight="1" hidden="1">
      <c r="A914" s="114" t="s">
        <v>758</v>
      </c>
      <c r="B914" s="112" t="s">
        <v>442</v>
      </c>
      <c r="C914" s="112" t="s">
        <v>338</v>
      </c>
      <c r="D914" s="111" t="s">
        <v>153</v>
      </c>
      <c r="E914" s="112" t="s">
        <v>705</v>
      </c>
      <c r="F914" s="143">
        <v>200</v>
      </c>
      <c r="G914" s="112"/>
      <c r="H914" s="78">
        <f>H915</f>
        <v>0</v>
      </c>
      <c r="I914" s="78">
        <f>I915</f>
        <v>0</v>
      </c>
      <c r="J914" s="113">
        <f t="shared" si="68"/>
        <v>0</v>
      </c>
      <c r="K914" s="78">
        <f>K915</f>
        <v>0</v>
      </c>
      <c r="L914" s="78">
        <f>L915</f>
        <v>0</v>
      </c>
    </row>
    <row r="915" spans="1:12" ht="18" customHeight="1" hidden="1">
      <c r="A915" s="92" t="s">
        <v>78</v>
      </c>
      <c r="B915" s="112" t="s">
        <v>442</v>
      </c>
      <c r="C915" s="112" t="s">
        <v>338</v>
      </c>
      <c r="D915" s="111" t="s">
        <v>153</v>
      </c>
      <c r="E915" s="112" t="s">
        <v>705</v>
      </c>
      <c r="F915" s="143">
        <v>200</v>
      </c>
      <c r="G915" s="112" t="s">
        <v>79</v>
      </c>
      <c r="H915" s="78">
        <f>'Пр. 11'!I928</f>
        <v>0</v>
      </c>
      <c r="I915" s="78">
        <f>'Пр. 11'!J928</f>
        <v>0</v>
      </c>
      <c r="J915" s="113">
        <f t="shared" si="68"/>
        <v>0</v>
      </c>
      <c r="K915" s="78">
        <f>'Пр. 11'!L928</f>
        <v>0</v>
      </c>
      <c r="L915" s="78">
        <f>'Пр. 11'!M928</f>
        <v>0</v>
      </c>
    </row>
    <row r="916" spans="1:12" ht="22.5" customHeight="1">
      <c r="A916" s="22" t="s">
        <v>711</v>
      </c>
      <c r="B916" s="111" t="s">
        <v>442</v>
      </c>
      <c r="C916" s="111" t="s">
        <v>338</v>
      </c>
      <c r="D916" s="111" t="s">
        <v>153</v>
      </c>
      <c r="E916" s="111" t="s">
        <v>710</v>
      </c>
      <c r="F916" s="111"/>
      <c r="G916" s="112"/>
      <c r="H916" s="78">
        <f>H917</f>
        <v>400</v>
      </c>
      <c r="I916" s="78">
        <f>I917</f>
        <v>400</v>
      </c>
      <c r="J916" s="113">
        <f t="shared" si="68"/>
        <v>0</v>
      </c>
      <c r="K916" s="78">
        <f>K917</f>
        <v>800</v>
      </c>
      <c r="L916" s="78">
        <f>L917</f>
        <v>800</v>
      </c>
    </row>
    <row r="917" spans="1:12" ht="33" customHeight="1">
      <c r="A917" s="22" t="s">
        <v>758</v>
      </c>
      <c r="B917" s="111" t="s">
        <v>442</v>
      </c>
      <c r="C917" s="111" t="s">
        <v>338</v>
      </c>
      <c r="D917" s="111" t="s">
        <v>153</v>
      </c>
      <c r="E917" s="111" t="s">
        <v>710</v>
      </c>
      <c r="F917" s="111" t="s">
        <v>757</v>
      </c>
      <c r="G917" s="112"/>
      <c r="H917" s="78">
        <f>H918</f>
        <v>400</v>
      </c>
      <c r="I917" s="78">
        <f>I918</f>
        <v>400</v>
      </c>
      <c r="J917" s="113">
        <f t="shared" si="68"/>
        <v>0</v>
      </c>
      <c r="K917" s="78">
        <f>K918</f>
        <v>800</v>
      </c>
      <c r="L917" s="78">
        <f>L918</f>
        <v>800</v>
      </c>
    </row>
    <row r="918" spans="1:12" ht="22.5" customHeight="1">
      <c r="A918" s="22" t="s">
        <v>72</v>
      </c>
      <c r="B918" s="111" t="s">
        <v>442</v>
      </c>
      <c r="C918" s="111" t="s">
        <v>338</v>
      </c>
      <c r="D918" s="111" t="s">
        <v>153</v>
      </c>
      <c r="E918" s="111" t="s">
        <v>710</v>
      </c>
      <c r="F918" s="111" t="s">
        <v>757</v>
      </c>
      <c r="G918" s="112" t="s">
        <v>73</v>
      </c>
      <c r="H918" s="78">
        <f>'Пр. 11'!I261</f>
        <v>400</v>
      </c>
      <c r="I918" s="78">
        <f>'Пр. 11'!J261</f>
        <v>400</v>
      </c>
      <c r="J918" s="113">
        <f t="shared" si="68"/>
        <v>0</v>
      </c>
      <c r="K918" s="78">
        <f>'Пр. 11'!L261</f>
        <v>800</v>
      </c>
      <c r="L918" s="78">
        <f>'Пр. 11'!M261</f>
        <v>800</v>
      </c>
    </row>
    <row r="919" spans="1:12" ht="35.25" customHeight="1" hidden="1">
      <c r="A919" s="123" t="s">
        <v>865</v>
      </c>
      <c r="B919" s="111" t="s">
        <v>442</v>
      </c>
      <c r="C919" s="111" t="s">
        <v>338</v>
      </c>
      <c r="D919" s="111" t="s">
        <v>153</v>
      </c>
      <c r="E919" s="111" t="s">
        <v>784</v>
      </c>
      <c r="F919" s="111"/>
      <c r="G919" s="112"/>
      <c r="H919" s="78">
        <f>H920</f>
        <v>0</v>
      </c>
      <c r="I919" s="78">
        <f>I920</f>
        <v>0</v>
      </c>
      <c r="J919" s="113">
        <f t="shared" si="68"/>
        <v>0</v>
      </c>
      <c r="K919" s="78">
        <f>K920</f>
        <v>0</v>
      </c>
      <c r="L919" s="78">
        <f>L920</f>
        <v>0</v>
      </c>
    </row>
    <row r="920" spans="1:12" ht="35.25" customHeight="1" hidden="1">
      <c r="A920" s="123" t="s">
        <v>758</v>
      </c>
      <c r="B920" s="111" t="s">
        <v>442</v>
      </c>
      <c r="C920" s="111" t="s">
        <v>338</v>
      </c>
      <c r="D920" s="111" t="s">
        <v>153</v>
      </c>
      <c r="E920" s="111" t="s">
        <v>784</v>
      </c>
      <c r="F920" s="111" t="s">
        <v>757</v>
      </c>
      <c r="G920" s="112"/>
      <c r="H920" s="78">
        <f>H921</f>
        <v>0</v>
      </c>
      <c r="I920" s="78">
        <f>I921</f>
        <v>0</v>
      </c>
      <c r="J920" s="113">
        <f t="shared" si="68"/>
        <v>0</v>
      </c>
      <c r="K920" s="78">
        <f>K921</f>
        <v>0</v>
      </c>
      <c r="L920" s="78">
        <f>L921</f>
        <v>0</v>
      </c>
    </row>
    <row r="921" spans="1:12" ht="20.25" customHeight="1" hidden="1">
      <c r="A921" s="22" t="s">
        <v>66</v>
      </c>
      <c r="B921" s="111" t="s">
        <v>442</v>
      </c>
      <c r="C921" s="111" t="s">
        <v>338</v>
      </c>
      <c r="D921" s="111" t="s">
        <v>153</v>
      </c>
      <c r="E921" s="111" t="s">
        <v>784</v>
      </c>
      <c r="F921" s="111" t="s">
        <v>757</v>
      </c>
      <c r="G921" s="112" t="s">
        <v>67</v>
      </c>
      <c r="H921" s="78">
        <f>'Пр. 11'!I205</f>
        <v>0</v>
      </c>
      <c r="I921" s="78">
        <f>'Пр. 11'!J205</f>
        <v>0</v>
      </c>
      <c r="J921" s="113">
        <f t="shared" si="68"/>
        <v>0</v>
      </c>
      <c r="K921" s="78">
        <f>'Пр. 11'!L205</f>
        <v>0</v>
      </c>
      <c r="L921" s="78">
        <f>'Пр. 11'!M205</f>
        <v>0</v>
      </c>
    </row>
    <row r="922" spans="1:12" ht="51" customHeight="1">
      <c r="A922" s="115" t="s">
        <v>474</v>
      </c>
      <c r="B922" s="112" t="s">
        <v>442</v>
      </c>
      <c r="C922" s="129">
        <v>9</v>
      </c>
      <c r="D922" s="112" t="s">
        <v>153</v>
      </c>
      <c r="E922" s="111" t="s">
        <v>475</v>
      </c>
      <c r="F922" s="129"/>
      <c r="G922" s="129"/>
      <c r="H922" s="78">
        <f>H923</f>
        <v>13.4</v>
      </c>
      <c r="I922" s="78">
        <f>I923</f>
        <v>13.4</v>
      </c>
      <c r="J922" s="113">
        <f t="shared" si="68"/>
        <v>0</v>
      </c>
      <c r="K922" s="78">
        <f>K923</f>
        <v>14</v>
      </c>
      <c r="L922" s="78">
        <f>L923</f>
        <v>14.8</v>
      </c>
    </row>
    <row r="923" spans="1:12" ht="30.75" customHeight="1">
      <c r="A923" s="114" t="s">
        <v>758</v>
      </c>
      <c r="B923" s="112" t="s">
        <v>442</v>
      </c>
      <c r="C923" s="129">
        <v>9</v>
      </c>
      <c r="D923" s="112" t="s">
        <v>153</v>
      </c>
      <c r="E923" s="111" t="s">
        <v>475</v>
      </c>
      <c r="F923" s="129">
        <v>200</v>
      </c>
      <c r="G923" s="129"/>
      <c r="H923" s="78">
        <f>H924</f>
        <v>13.4</v>
      </c>
      <c r="I923" s="78">
        <f>I924</f>
        <v>13.4</v>
      </c>
      <c r="J923" s="113">
        <f t="shared" si="68"/>
        <v>0</v>
      </c>
      <c r="K923" s="78">
        <f>K924</f>
        <v>14</v>
      </c>
      <c r="L923" s="78">
        <f>L924</f>
        <v>14.8</v>
      </c>
    </row>
    <row r="924" spans="1:12" ht="21.75" customHeight="1">
      <c r="A924" s="115" t="s">
        <v>50</v>
      </c>
      <c r="B924" s="112" t="s">
        <v>442</v>
      </c>
      <c r="C924" s="129">
        <v>9</v>
      </c>
      <c r="D924" s="112" t="s">
        <v>153</v>
      </c>
      <c r="E924" s="111" t="s">
        <v>475</v>
      </c>
      <c r="F924" s="129">
        <v>200</v>
      </c>
      <c r="G924" s="112" t="s">
        <v>51</v>
      </c>
      <c r="H924" s="78">
        <f>'Пр. 11'!I73</f>
        <v>13.4</v>
      </c>
      <c r="I924" s="78">
        <f>'Пр. 11'!J73</f>
        <v>13.4</v>
      </c>
      <c r="J924" s="113">
        <f t="shared" si="68"/>
        <v>0</v>
      </c>
      <c r="K924" s="78">
        <f>'Пр. 11'!L73</f>
        <v>14</v>
      </c>
      <c r="L924" s="78">
        <f>'Пр. 11'!M73</f>
        <v>14.8</v>
      </c>
    </row>
    <row r="925" spans="1:12" ht="45" customHeight="1" hidden="1">
      <c r="A925" s="114" t="s">
        <v>476</v>
      </c>
      <c r="B925" s="112" t="s">
        <v>442</v>
      </c>
      <c r="C925" s="129">
        <v>9</v>
      </c>
      <c r="D925" s="112" t="s">
        <v>153</v>
      </c>
      <c r="E925" s="111" t="s">
        <v>477</v>
      </c>
      <c r="F925" s="129"/>
      <c r="G925" s="112"/>
      <c r="H925" s="78">
        <f>H926</f>
        <v>0</v>
      </c>
      <c r="I925" s="78">
        <f>I926</f>
        <v>0</v>
      </c>
      <c r="J925" s="113">
        <f t="shared" si="68"/>
        <v>0</v>
      </c>
      <c r="K925" s="78">
        <f>K926</f>
        <v>0</v>
      </c>
      <c r="L925" s="78">
        <f>L926</f>
        <v>0</v>
      </c>
    </row>
    <row r="926" spans="1:12" ht="32.25" customHeight="1" hidden="1">
      <c r="A926" s="114" t="s">
        <v>758</v>
      </c>
      <c r="B926" s="112" t="s">
        <v>442</v>
      </c>
      <c r="C926" s="129">
        <v>9</v>
      </c>
      <c r="D926" s="112" t="s">
        <v>153</v>
      </c>
      <c r="E926" s="111" t="s">
        <v>477</v>
      </c>
      <c r="F926" s="129">
        <v>200</v>
      </c>
      <c r="G926" s="112"/>
      <c r="H926" s="78">
        <f>H927</f>
        <v>0</v>
      </c>
      <c r="I926" s="78">
        <f>I927</f>
        <v>0</v>
      </c>
      <c r="J926" s="113">
        <f t="shared" si="68"/>
        <v>0</v>
      </c>
      <c r="K926" s="78">
        <f>K927</f>
        <v>0</v>
      </c>
      <c r="L926" s="78">
        <f>L927</f>
        <v>0</v>
      </c>
    </row>
    <row r="927" spans="1:12" ht="25.5" customHeight="1" hidden="1">
      <c r="A927" s="22" t="s">
        <v>56</v>
      </c>
      <c r="B927" s="112" t="s">
        <v>442</v>
      </c>
      <c r="C927" s="129">
        <v>9</v>
      </c>
      <c r="D927" s="112" t="s">
        <v>153</v>
      </c>
      <c r="E927" s="111" t="s">
        <v>477</v>
      </c>
      <c r="F927" s="129">
        <v>200</v>
      </c>
      <c r="G927" s="112" t="s">
        <v>57</v>
      </c>
      <c r="H927" s="78">
        <f>'Пр. 11'!I128</f>
        <v>0</v>
      </c>
      <c r="I927" s="78">
        <f>'Пр. 11'!J128</f>
        <v>0</v>
      </c>
      <c r="J927" s="113">
        <f t="shared" si="68"/>
        <v>0</v>
      </c>
      <c r="K927" s="78">
        <f>'Пр. 11'!L128</f>
        <v>0</v>
      </c>
      <c r="L927" s="78">
        <f>'Пр. 11'!M128</f>
        <v>0</v>
      </c>
    </row>
    <row r="928" spans="1:12" ht="49.5" customHeight="1" hidden="1">
      <c r="A928" s="22" t="s">
        <v>148</v>
      </c>
      <c r="B928" s="111" t="s">
        <v>442</v>
      </c>
      <c r="C928" s="111" t="s">
        <v>338</v>
      </c>
      <c r="D928" s="111" t="s">
        <v>153</v>
      </c>
      <c r="E928" s="111" t="s">
        <v>158</v>
      </c>
      <c r="F928" s="111"/>
      <c r="G928" s="112"/>
      <c r="H928" s="78">
        <f>H929</f>
        <v>0</v>
      </c>
      <c r="I928" s="78">
        <f>I929</f>
        <v>0</v>
      </c>
      <c r="J928" s="113">
        <f t="shared" si="68"/>
        <v>0</v>
      </c>
      <c r="K928" s="78">
        <f>K929</f>
        <v>0</v>
      </c>
      <c r="L928" s="78">
        <f>L929</f>
        <v>0</v>
      </c>
    </row>
    <row r="929" spans="1:12" ht="24" customHeight="1" hidden="1">
      <c r="A929" s="114" t="s">
        <v>767</v>
      </c>
      <c r="B929" s="111" t="s">
        <v>442</v>
      </c>
      <c r="C929" s="111" t="s">
        <v>338</v>
      </c>
      <c r="D929" s="111" t="s">
        <v>153</v>
      </c>
      <c r="E929" s="111" t="s">
        <v>158</v>
      </c>
      <c r="F929" s="111" t="s">
        <v>766</v>
      </c>
      <c r="G929" s="112"/>
      <c r="H929" s="78">
        <f>H930</f>
        <v>0</v>
      </c>
      <c r="I929" s="78">
        <f>I930</f>
        <v>0</v>
      </c>
      <c r="J929" s="113">
        <f t="shared" si="68"/>
        <v>0</v>
      </c>
      <c r="K929" s="78">
        <f>K930</f>
        <v>0</v>
      </c>
      <c r="L929" s="78">
        <f>L930</f>
        <v>0</v>
      </c>
    </row>
    <row r="930" spans="1:12" ht="21" customHeight="1" hidden="1">
      <c r="A930" s="92" t="s">
        <v>78</v>
      </c>
      <c r="B930" s="111" t="s">
        <v>442</v>
      </c>
      <c r="C930" s="111" t="s">
        <v>338</v>
      </c>
      <c r="D930" s="111" t="s">
        <v>153</v>
      </c>
      <c r="E930" s="111" t="s">
        <v>158</v>
      </c>
      <c r="F930" s="111" t="s">
        <v>766</v>
      </c>
      <c r="G930" s="112" t="s">
        <v>79</v>
      </c>
      <c r="H930" s="78">
        <f>'Пр. 11'!I608</f>
        <v>0</v>
      </c>
      <c r="I930" s="78">
        <f>'Пр. 11'!J608</f>
        <v>0</v>
      </c>
      <c r="J930" s="113">
        <f t="shared" si="68"/>
        <v>0</v>
      </c>
      <c r="K930" s="78">
        <f>'Пр. 11'!L608</f>
        <v>0</v>
      </c>
      <c r="L930" s="78">
        <f>'Пр. 11'!M608</f>
        <v>0</v>
      </c>
    </row>
    <row r="931" spans="1:12" ht="51" customHeight="1" hidden="1">
      <c r="A931" s="114" t="s">
        <v>478</v>
      </c>
      <c r="B931" s="112" t="s">
        <v>442</v>
      </c>
      <c r="C931" s="129">
        <v>9</v>
      </c>
      <c r="D931" s="112" t="s">
        <v>153</v>
      </c>
      <c r="E931" s="112" t="s">
        <v>479</v>
      </c>
      <c r="F931" s="129"/>
      <c r="G931" s="112"/>
      <c r="H931" s="78">
        <f>H932</f>
        <v>0</v>
      </c>
      <c r="I931" s="78">
        <f>I932</f>
        <v>0</v>
      </c>
      <c r="J931" s="113">
        <f t="shared" si="68"/>
        <v>0</v>
      </c>
      <c r="K931" s="78">
        <f>K932</f>
        <v>0</v>
      </c>
      <c r="L931" s="78">
        <f>L932</f>
        <v>0</v>
      </c>
    </row>
    <row r="932" spans="1:12" ht="24" customHeight="1" hidden="1">
      <c r="A932" s="119" t="s">
        <v>767</v>
      </c>
      <c r="B932" s="112" t="s">
        <v>442</v>
      </c>
      <c r="C932" s="129">
        <v>9</v>
      </c>
      <c r="D932" s="112" t="s">
        <v>153</v>
      </c>
      <c r="E932" s="112" t="s">
        <v>479</v>
      </c>
      <c r="F932" s="129">
        <v>500</v>
      </c>
      <c r="G932" s="112"/>
      <c r="H932" s="78">
        <f>H933</f>
        <v>0</v>
      </c>
      <c r="I932" s="78">
        <f>I933</f>
        <v>0</v>
      </c>
      <c r="J932" s="113">
        <f t="shared" si="68"/>
        <v>0</v>
      </c>
      <c r="K932" s="78">
        <f>K933</f>
        <v>0</v>
      </c>
      <c r="L932" s="78">
        <f>L933</f>
        <v>0</v>
      </c>
    </row>
    <row r="933" spans="1:12" ht="21.75" customHeight="1" hidden="1">
      <c r="A933" s="119" t="s">
        <v>132</v>
      </c>
      <c r="B933" s="112" t="s">
        <v>442</v>
      </c>
      <c r="C933" s="129">
        <v>9</v>
      </c>
      <c r="D933" s="112" t="s">
        <v>153</v>
      </c>
      <c r="E933" s="112" t="s">
        <v>479</v>
      </c>
      <c r="F933" s="129">
        <v>500</v>
      </c>
      <c r="G933" s="112" t="s">
        <v>133</v>
      </c>
      <c r="H933" s="78">
        <f>'Пр. 11'!I683</f>
        <v>0</v>
      </c>
      <c r="I933" s="78">
        <f>'Пр. 11'!J683</f>
        <v>0</v>
      </c>
      <c r="J933" s="113">
        <f t="shared" si="68"/>
        <v>0</v>
      </c>
      <c r="K933" s="78">
        <f>'Пр. 11'!L683</f>
        <v>0</v>
      </c>
      <c r="L933" s="78">
        <f>'Пр. 11'!M683</f>
        <v>0</v>
      </c>
    </row>
    <row r="934" spans="1:12" ht="129.75" customHeight="1" hidden="1">
      <c r="A934" s="119" t="s">
        <v>480</v>
      </c>
      <c r="B934" s="112" t="s">
        <v>442</v>
      </c>
      <c r="C934" s="129">
        <v>9</v>
      </c>
      <c r="D934" s="112" t="s">
        <v>153</v>
      </c>
      <c r="E934" s="112" t="s">
        <v>481</v>
      </c>
      <c r="F934" s="129"/>
      <c r="G934" s="112"/>
      <c r="H934" s="78">
        <f>H935</f>
        <v>0</v>
      </c>
      <c r="I934" s="78">
        <f>I935</f>
        <v>0</v>
      </c>
      <c r="J934" s="113">
        <f t="shared" si="68"/>
        <v>0</v>
      </c>
      <c r="K934" s="78">
        <f>K935</f>
        <v>0</v>
      </c>
      <c r="L934" s="78">
        <f>L935</f>
        <v>0</v>
      </c>
    </row>
    <row r="935" spans="1:12" ht="18.75" customHeight="1" hidden="1">
      <c r="A935" s="119" t="s">
        <v>767</v>
      </c>
      <c r="B935" s="112" t="s">
        <v>442</v>
      </c>
      <c r="C935" s="129">
        <v>9</v>
      </c>
      <c r="D935" s="112" t="s">
        <v>153</v>
      </c>
      <c r="E935" s="112" t="s">
        <v>481</v>
      </c>
      <c r="F935" s="129">
        <v>500</v>
      </c>
      <c r="G935" s="112"/>
      <c r="H935" s="78">
        <f>H936</f>
        <v>0</v>
      </c>
      <c r="I935" s="78">
        <f>I936</f>
        <v>0</v>
      </c>
      <c r="J935" s="113">
        <f t="shared" si="68"/>
        <v>0</v>
      </c>
      <c r="K935" s="78">
        <f>K936</f>
        <v>0</v>
      </c>
      <c r="L935" s="78">
        <f>L936</f>
        <v>0</v>
      </c>
    </row>
    <row r="936" spans="1:12" ht="23.25" customHeight="1" hidden="1">
      <c r="A936" s="92" t="s">
        <v>76</v>
      </c>
      <c r="B936" s="112" t="s">
        <v>442</v>
      </c>
      <c r="C936" s="129">
        <v>9</v>
      </c>
      <c r="D936" s="112" t="s">
        <v>153</v>
      </c>
      <c r="E936" s="112" t="s">
        <v>481</v>
      </c>
      <c r="F936" s="129">
        <v>500</v>
      </c>
      <c r="G936" s="112" t="s">
        <v>77</v>
      </c>
      <c r="H936" s="78">
        <f>'Пр. 11'!I582</f>
        <v>0</v>
      </c>
      <c r="I936" s="78">
        <f>'Пр. 11'!J582</f>
        <v>0</v>
      </c>
      <c r="J936" s="113">
        <f t="shared" si="68"/>
        <v>0</v>
      </c>
      <c r="K936" s="78">
        <f>'Пр. 11'!L582</f>
        <v>0</v>
      </c>
      <c r="L936" s="78">
        <f>'Пр. 11'!M582</f>
        <v>0</v>
      </c>
    </row>
    <row r="937" spans="1:12" ht="53.25" customHeight="1">
      <c r="A937" s="119" t="s">
        <v>701</v>
      </c>
      <c r="B937" s="112" t="s">
        <v>442</v>
      </c>
      <c r="C937" s="112" t="s">
        <v>338</v>
      </c>
      <c r="D937" s="112" t="s">
        <v>153</v>
      </c>
      <c r="E937" s="112" t="s">
        <v>553</v>
      </c>
      <c r="F937" s="129"/>
      <c r="G937" s="112"/>
      <c r="H937" s="78">
        <f>H938</f>
        <v>10000</v>
      </c>
      <c r="I937" s="78">
        <f>I938</f>
        <v>15000</v>
      </c>
      <c r="J937" s="113">
        <f t="shared" si="68"/>
        <v>5000</v>
      </c>
      <c r="K937" s="78">
        <f>K938</f>
        <v>10000</v>
      </c>
      <c r="L937" s="78">
        <f>L938</f>
        <v>10000</v>
      </c>
    </row>
    <row r="938" spans="1:12" ht="27" customHeight="1">
      <c r="A938" s="119" t="s">
        <v>159</v>
      </c>
      <c r="B938" s="112" t="s">
        <v>442</v>
      </c>
      <c r="C938" s="112" t="s">
        <v>338</v>
      </c>
      <c r="D938" s="112" t="s">
        <v>153</v>
      </c>
      <c r="E938" s="112" t="s">
        <v>553</v>
      </c>
      <c r="F938" s="129">
        <v>500</v>
      </c>
      <c r="G938" s="112"/>
      <c r="H938" s="147">
        <f>H939</f>
        <v>10000</v>
      </c>
      <c r="I938" s="131">
        <f>I939</f>
        <v>15000</v>
      </c>
      <c r="J938" s="113">
        <f t="shared" si="68"/>
        <v>5000</v>
      </c>
      <c r="K938" s="131">
        <f>K939</f>
        <v>10000</v>
      </c>
      <c r="L938" s="131">
        <f>L939</f>
        <v>10000</v>
      </c>
    </row>
    <row r="939" spans="1:12" ht="23.25" customHeight="1">
      <c r="A939" s="119" t="s">
        <v>132</v>
      </c>
      <c r="B939" s="112" t="s">
        <v>442</v>
      </c>
      <c r="C939" s="112" t="s">
        <v>338</v>
      </c>
      <c r="D939" s="112" t="s">
        <v>153</v>
      </c>
      <c r="E939" s="112" t="s">
        <v>553</v>
      </c>
      <c r="F939" s="129">
        <v>500</v>
      </c>
      <c r="G939" s="112" t="s">
        <v>133</v>
      </c>
      <c r="H939" s="147">
        <f>'Пр. 11'!I685</f>
        <v>10000</v>
      </c>
      <c r="I939" s="131">
        <f>'Пр. 11'!J685</f>
        <v>15000</v>
      </c>
      <c r="J939" s="113">
        <f t="shared" si="68"/>
        <v>5000</v>
      </c>
      <c r="K939" s="131">
        <f>'Пр. 11'!L685</f>
        <v>10000</v>
      </c>
      <c r="L939" s="131">
        <f>'Пр. 11'!M685</f>
        <v>10000</v>
      </c>
    </row>
    <row r="940" spans="1:12" ht="35.25" customHeight="1">
      <c r="A940" s="22" t="s">
        <v>703</v>
      </c>
      <c r="B940" s="111" t="s">
        <v>442</v>
      </c>
      <c r="C940" s="111" t="s">
        <v>338</v>
      </c>
      <c r="D940" s="111" t="s">
        <v>153</v>
      </c>
      <c r="E940" s="111" t="s">
        <v>702</v>
      </c>
      <c r="F940" s="111"/>
      <c r="G940" s="112"/>
      <c r="H940" s="147">
        <f>H941</f>
        <v>1655.2</v>
      </c>
      <c r="I940" s="147">
        <f>I941</f>
        <v>1655.2</v>
      </c>
      <c r="J940" s="113">
        <f t="shared" si="68"/>
        <v>0</v>
      </c>
      <c r="K940" s="147">
        <f>K941</f>
        <v>0</v>
      </c>
      <c r="L940" s="147">
        <f>L941</f>
        <v>0</v>
      </c>
    </row>
    <row r="941" spans="1:12" ht="18" customHeight="1">
      <c r="A941" s="115" t="s">
        <v>765</v>
      </c>
      <c r="B941" s="111" t="s">
        <v>442</v>
      </c>
      <c r="C941" s="111" t="s">
        <v>338</v>
      </c>
      <c r="D941" s="111" t="s">
        <v>153</v>
      </c>
      <c r="E941" s="111" t="s">
        <v>702</v>
      </c>
      <c r="F941" s="111" t="s">
        <v>766</v>
      </c>
      <c r="G941" s="112"/>
      <c r="H941" s="131">
        <f>H942</f>
        <v>1655.2</v>
      </c>
      <c r="I941" s="131">
        <f>I942</f>
        <v>1655.2</v>
      </c>
      <c r="J941" s="113">
        <f t="shared" si="68"/>
        <v>0</v>
      </c>
      <c r="K941" s="131">
        <f>K942</f>
        <v>0</v>
      </c>
      <c r="L941" s="131">
        <f>L942</f>
        <v>0</v>
      </c>
    </row>
    <row r="942" spans="1:12" ht="24.75" customHeight="1">
      <c r="A942" s="92" t="s">
        <v>72</v>
      </c>
      <c r="B942" s="111" t="s">
        <v>442</v>
      </c>
      <c r="C942" s="111" t="s">
        <v>338</v>
      </c>
      <c r="D942" s="111" t="s">
        <v>153</v>
      </c>
      <c r="E942" s="111" t="s">
        <v>702</v>
      </c>
      <c r="F942" s="111" t="s">
        <v>766</v>
      </c>
      <c r="G942" s="112" t="s">
        <v>73</v>
      </c>
      <c r="H942" s="131">
        <f>'Пр. 11'!I570</f>
        <v>1655.2</v>
      </c>
      <c r="I942" s="131">
        <f>'Пр. 11'!J570</f>
        <v>1655.2</v>
      </c>
      <c r="J942" s="113">
        <f t="shared" si="68"/>
        <v>0</v>
      </c>
      <c r="K942" s="131">
        <f>'Пр. 11'!L570</f>
        <v>0</v>
      </c>
      <c r="L942" s="131">
        <f>'Пр. 11'!M570</f>
        <v>0</v>
      </c>
    </row>
    <row r="943" spans="1:12" ht="39" customHeight="1">
      <c r="A943" s="127" t="s">
        <v>874</v>
      </c>
      <c r="B943" s="112" t="s">
        <v>442</v>
      </c>
      <c r="C943" s="112" t="s">
        <v>338</v>
      </c>
      <c r="D943" s="112" t="s">
        <v>153</v>
      </c>
      <c r="E943" s="112" t="s">
        <v>872</v>
      </c>
      <c r="F943" s="129"/>
      <c r="G943" s="112"/>
      <c r="H943" s="131">
        <f>H944</f>
        <v>500</v>
      </c>
      <c r="I943" s="131">
        <f>I944</f>
        <v>500</v>
      </c>
      <c r="J943" s="113">
        <f t="shared" si="68"/>
        <v>0</v>
      </c>
      <c r="K943" s="131">
        <f>K944</f>
        <v>500</v>
      </c>
      <c r="L943" s="131">
        <f>L944</f>
        <v>500</v>
      </c>
    </row>
    <row r="944" spans="1:12" ht="21" customHeight="1">
      <c r="A944" s="127" t="s">
        <v>767</v>
      </c>
      <c r="B944" s="112" t="s">
        <v>442</v>
      </c>
      <c r="C944" s="112" t="s">
        <v>338</v>
      </c>
      <c r="D944" s="112" t="s">
        <v>153</v>
      </c>
      <c r="E944" s="112" t="s">
        <v>872</v>
      </c>
      <c r="F944" s="129">
        <v>500</v>
      </c>
      <c r="G944" s="112"/>
      <c r="H944" s="131">
        <f>H945</f>
        <v>500</v>
      </c>
      <c r="I944" s="131">
        <f>I945</f>
        <v>500</v>
      </c>
      <c r="J944" s="113">
        <f t="shared" si="68"/>
        <v>0</v>
      </c>
      <c r="K944" s="131">
        <f>K945</f>
        <v>500</v>
      </c>
      <c r="L944" s="131">
        <f>L945</f>
        <v>500</v>
      </c>
    </row>
    <row r="945" spans="1:12" ht="24.75" customHeight="1">
      <c r="A945" s="119" t="s">
        <v>132</v>
      </c>
      <c r="B945" s="112" t="s">
        <v>442</v>
      </c>
      <c r="C945" s="112" t="s">
        <v>338</v>
      </c>
      <c r="D945" s="112" t="s">
        <v>153</v>
      </c>
      <c r="E945" s="112" t="s">
        <v>872</v>
      </c>
      <c r="F945" s="129">
        <v>500</v>
      </c>
      <c r="G945" s="112" t="s">
        <v>133</v>
      </c>
      <c r="H945" s="131">
        <f>'Пр. 11'!I687</f>
        <v>500</v>
      </c>
      <c r="I945" s="131">
        <f>'Пр. 11'!J687</f>
        <v>500</v>
      </c>
      <c r="J945" s="113">
        <f t="shared" si="68"/>
        <v>0</v>
      </c>
      <c r="K945" s="131">
        <f>'Пр. 11'!L687</f>
        <v>500</v>
      </c>
      <c r="L945" s="131">
        <f>'Пр. 11'!M687</f>
        <v>500</v>
      </c>
    </row>
    <row r="946" spans="1:12" ht="64.5" customHeight="1">
      <c r="A946" s="127" t="s">
        <v>1182</v>
      </c>
      <c r="B946" s="112" t="s">
        <v>442</v>
      </c>
      <c r="C946" s="112" t="s">
        <v>338</v>
      </c>
      <c r="D946" s="112" t="s">
        <v>153</v>
      </c>
      <c r="E946" s="112" t="s">
        <v>1181</v>
      </c>
      <c r="F946" s="129"/>
      <c r="G946" s="112"/>
      <c r="H946" s="131">
        <f>H947</f>
        <v>17100</v>
      </c>
      <c r="I946" s="131">
        <f>I947</f>
        <v>17100</v>
      </c>
      <c r="J946" s="113">
        <f t="shared" si="68"/>
        <v>0</v>
      </c>
      <c r="K946" s="131">
        <f>K947</f>
        <v>0</v>
      </c>
      <c r="L946" s="131">
        <f>L947</f>
        <v>0</v>
      </c>
    </row>
    <row r="947" spans="1:12" ht="20.25" customHeight="1">
      <c r="A947" s="127" t="s">
        <v>767</v>
      </c>
      <c r="B947" s="112" t="s">
        <v>442</v>
      </c>
      <c r="C947" s="112" t="s">
        <v>338</v>
      </c>
      <c r="D947" s="112" t="s">
        <v>153</v>
      </c>
      <c r="E947" s="112" t="s">
        <v>1181</v>
      </c>
      <c r="F947" s="129">
        <v>500</v>
      </c>
      <c r="G947" s="112"/>
      <c r="H947" s="131">
        <f>H948</f>
        <v>17100</v>
      </c>
      <c r="I947" s="131">
        <f>I948</f>
        <v>17100</v>
      </c>
      <c r="J947" s="113">
        <f t="shared" si="68"/>
        <v>0</v>
      </c>
      <c r="K947" s="131">
        <f>K948</f>
        <v>0</v>
      </c>
      <c r="L947" s="131"/>
    </row>
    <row r="948" spans="1:12" ht="21.75" customHeight="1">
      <c r="A948" s="119" t="s">
        <v>132</v>
      </c>
      <c r="B948" s="112" t="s">
        <v>442</v>
      </c>
      <c r="C948" s="112" t="s">
        <v>338</v>
      </c>
      <c r="D948" s="112" t="s">
        <v>153</v>
      </c>
      <c r="E948" s="112" t="s">
        <v>1181</v>
      </c>
      <c r="F948" s="129">
        <v>500</v>
      </c>
      <c r="G948" s="112" t="s">
        <v>81</v>
      </c>
      <c r="H948" s="131">
        <f>'Пр. 11'!I621</f>
        <v>17100</v>
      </c>
      <c r="I948" s="131">
        <f>'Пр. 11'!J621</f>
        <v>17100</v>
      </c>
      <c r="J948" s="113">
        <f t="shared" si="68"/>
        <v>0</v>
      </c>
      <c r="K948" s="131">
        <f>'Пр. 11'!L621</f>
        <v>0</v>
      </c>
      <c r="L948" s="131">
        <f>'Пр. 11'!M621</f>
        <v>0</v>
      </c>
    </row>
    <row r="949" spans="1:12" ht="48.75" customHeight="1">
      <c r="A949" s="123" t="s">
        <v>863</v>
      </c>
      <c r="B949" s="111" t="s">
        <v>442</v>
      </c>
      <c r="C949" s="111" t="s">
        <v>338</v>
      </c>
      <c r="D949" s="111" t="s">
        <v>153</v>
      </c>
      <c r="E949" s="111" t="s">
        <v>862</v>
      </c>
      <c r="F949" s="111"/>
      <c r="G949" s="112"/>
      <c r="H949" s="78">
        <f>H950+H952</f>
        <v>4600</v>
      </c>
      <c r="I949" s="78">
        <f>I950+I952</f>
        <v>4600</v>
      </c>
      <c r="J949" s="113">
        <f t="shared" si="68"/>
        <v>0</v>
      </c>
      <c r="K949" s="78">
        <f>K950+K952</f>
        <v>0</v>
      </c>
      <c r="L949" s="78">
        <f>L950+L952</f>
        <v>0</v>
      </c>
    </row>
    <row r="950" spans="1:12" ht="21" customHeight="1" hidden="1">
      <c r="A950" s="124" t="s">
        <v>765</v>
      </c>
      <c r="B950" s="111" t="s">
        <v>442</v>
      </c>
      <c r="C950" s="111" t="s">
        <v>338</v>
      </c>
      <c r="D950" s="111" t="s">
        <v>153</v>
      </c>
      <c r="E950" s="111" t="s">
        <v>862</v>
      </c>
      <c r="F950" s="111" t="s">
        <v>766</v>
      </c>
      <c r="G950" s="112"/>
      <c r="H950" s="78">
        <f>H951</f>
        <v>0</v>
      </c>
      <c r="I950" s="78">
        <f>I951</f>
        <v>0</v>
      </c>
      <c r="J950" s="113">
        <f t="shared" si="68"/>
        <v>0</v>
      </c>
      <c r="K950" s="78">
        <f>K951</f>
        <v>0</v>
      </c>
      <c r="L950" s="78">
        <f>L951</f>
        <v>0</v>
      </c>
    </row>
    <row r="951" spans="1:12" ht="33" customHeight="1" hidden="1">
      <c r="A951" s="124" t="s">
        <v>60</v>
      </c>
      <c r="B951" s="111" t="s">
        <v>442</v>
      </c>
      <c r="C951" s="111" t="s">
        <v>338</v>
      </c>
      <c r="D951" s="111" t="s">
        <v>153</v>
      </c>
      <c r="E951" s="111" t="s">
        <v>862</v>
      </c>
      <c r="F951" s="111" t="s">
        <v>766</v>
      </c>
      <c r="G951" s="112" t="s">
        <v>61</v>
      </c>
      <c r="H951" s="78">
        <f>'Пр. 11'!I555</f>
        <v>0</v>
      </c>
      <c r="I951" s="78">
        <f>'Пр. 11'!J555</f>
        <v>0</v>
      </c>
      <c r="J951" s="113">
        <f t="shared" si="68"/>
        <v>0</v>
      </c>
      <c r="K951" s="78">
        <f>'Пр. 11'!L555</f>
        <v>0</v>
      </c>
      <c r="L951" s="78">
        <f>'Пр. 11'!M555</f>
        <v>0</v>
      </c>
    </row>
    <row r="952" spans="1:12" ht="23.25" customHeight="1">
      <c r="A952" s="73" t="s">
        <v>68</v>
      </c>
      <c r="B952" s="111" t="s">
        <v>442</v>
      </c>
      <c r="C952" s="111" t="s">
        <v>338</v>
      </c>
      <c r="D952" s="111" t="s">
        <v>153</v>
      </c>
      <c r="E952" s="111" t="s">
        <v>862</v>
      </c>
      <c r="F952" s="111" t="s">
        <v>766</v>
      </c>
      <c r="G952" s="112" t="s">
        <v>69</v>
      </c>
      <c r="H952" s="78">
        <f>'Пр. 11'!I562</f>
        <v>4600</v>
      </c>
      <c r="I952" s="78">
        <f>'Пр. 11'!J562</f>
        <v>4600</v>
      </c>
      <c r="J952" s="113">
        <f t="shared" si="68"/>
        <v>0</v>
      </c>
      <c r="K952" s="78">
        <f>'Пр. 11'!L562</f>
        <v>0</v>
      </c>
      <c r="L952" s="78">
        <f>'Пр. 11'!M562</f>
        <v>0</v>
      </c>
    </row>
    <row r="953" spans="1:12" ht="30" customHeight="1" hidden="1">
      <c r="A953" s="124" t="s">
        <v>198</v>
      </c>
      <c r="B953" s="111" t="s">
        <v>442</v>
      </c>
      <c r="C953" s="111" t="s">
        <v>338</v>
      </c>
      <c r="D953" s="111" t="s">
        <v>153</v>
      </c>
      <c r="E953" s="111" t="s">
        <v>873</v>
      </c>
      <c r="F953" s="111"/>
      <c r="G953" s="112"/>
      <c r="H953" s="78">
        <f>H954</f>
        <v>0</v>
      </c>
      <c r="I953" s="78">
        <f>I954</f>
        <v>0</v>
      </c>
      <c r="J953" s="113">
        <f t="shared" si="68"/>
        <v>0</v>
      </c>
      <c r="K953" s="78">
        <f>K954</f>
        <v>0</v>
      </c>
      <c r="L953" s="78">
        <f>L954</f>
        <v>0</v>
      </c>
    </row>
    <row r="954" spans="1:12" ht="27" customHeight="1" hidden="1">
      <c r="A954" s="124" t="s">
        <v>765</v>
      </c>
      <c r="B954" s="111" t="s">
        <v>442</v>
      </c>
      <c r="C954" s="111" t="s">
        <v>338</v>
      </c>
      <c r="D954" s="111" t="s">
        <v>153</v>
      </c>
      <c r="E954" s="111" t="s">
        <v>873</v>
      </c>
      <c r="F954" s="111" t="s">
        <v>766</v>
      </c>
      <c r="G954" s="112"/>
      <c r="H954" s="78">
        <f>H955</f>
        <v>0</v>
      </c>
      <c r="I954" s="78">
        <f>I955</f>
        <v>0</v>
      </c>
      <c r="J954" s="113">
        <f t="shared" si="68"/>
        <v>0</v>
      </c>
      <c r="K954" s="78">
        <f>K955</f>
        <v>0</v>
      </c>
      <c r="L954" s="78">
        <f>L955</f>
        <v>0</v>
      </c>
    </row>
    <row r="955" spans="1:12" ht="18.75" customHeight="1" hidden="1">
      <c r="A955" s="124" t="s">
        <v>104</v>
      </c>
      <c r="B955" s="111" t="s">
        <v>442</v>
      </c>
      <c r="C955" s="111" t="s">
        <v>338</v>
      </c>
      <c r="D955" s="111" t="s">
        <v>153</v>
      </c>
      <c r="E955" s="111" t="s">
        <v>873</v>
      </c>
      <c r="F955" s="111" t="s">
        <v>766</v>
      </c>
      <c r="G955" s="112" t="s">
        <v>105</v>
      </c>
      <c r="H955" s="78">
        <f>'Пр. 11'!I654</f>
        <v>0</v>
      </c>
      <c r="I955" s="78">
        <f>'Пр. 11'!J654</f>
        <v>0</v>
      </c>
      <c r="J955" s="113">
        <f t="shared" si="68"/>
        <v>0</v>
      </c>
      <c r="K955" s="78">
        <f>'Пр. 11'!L654</f>
        <v>0</v>
      </c>
      <c r="L955" s="78">
        <f>'Пр. 11'!M654</f>
        <v>0</v>
      </c>
    </row>
    <row r="956" spans="1:12" ht="51.75" customHeight="1">
      <c r="A956" s="121" t="s">
        <v>1183</v>
      </c>
      <c r="B956" s="112" t="s">
        <v>442</v>
      </c>
      <c r="C956" s="112" t="s">
        <v>338</v>
      </c>
      <c r="D956" s="112" t="s">
        <v>153</v>
      </c>
      <c r="E956" s="112" t="s">
        <v>1169</v>
      </c>
      <c r="F956" s="129"/>
      <c r="G956" s="389"/>
      <c r="H956" s="390">
        <f>H957+H960</f>
        <v>1903.3</v>
      </c>
      <c r="I956" s="390">
        <f>I957+I960</f>
        <v>1903.3</v>
      </c>
      <c r="J956" s="113">
        <f t="shared" si="68"/>
        <v>0</v>
      </c>
      <c r="K956" s="390">
        <f>K957+K960</f>
        <v>0</v>
      </c>
      <c r="L956" s="390">
        <f>L957+L960</f>
        <v>0</v>
      </c>
    </row>
    <row r="957" spans="1:12" ht="37.5" customHeight="1">
      <c r="A957" s="123" t="s">
        <v>758</v>
      </c>
      <c r="B957" s="112" t="s">
        <v>442</v>
      </c>
      <c r="C957" s="112" t="s">
        <v>338</v>
      </c>
      <c r="D957" s="112" t="s">
        <v>153</v>
      </c>
      <c r="E957" s="112" t="s">
        <v>1169</v>
      </c>
      <c r="F957" s="129">
        <v>200</v>
      </c>
      <c r="G957" s="389"/>
      <c r="H957" s="390">
        <f>H958+H959</f>
        <v>223.3</v>
      </c>
      <c r="I957" s="390">
        <f>I958+I959</f>
        <v>223.3</v>
      </c>
      <c r="J957" s="113">
        <f t="shared" si="68"/>
        <v>0</v>
      </c>
      <c r="K957" s="390">
        <f>K958+K959</f>
        <v>0</v>
      </c>
      <c r="L957" s="390">
        <f>L958+L959</f>
        <v>0</v>
      </c>
    </row>
    <row r="958" spans="1:12" ht="18.75" customHeight="1">
      <c r="A958" s="114" t="s">
        <v>56</v>
      </c>
      <c r="B958" s="112" t="s">
        <v>442</v>
      </c>
      <c r="C958" s="112" t="s">
        <v>338</v>
      </c>
      <c r="D958" s="112" t="s">
        <v>153</v>
      </c>
      <c r="E958" s="112" t="s">
        <v>1169</v>
      </c>
      <c r="F958" s="129">
        <v>200</v>
      </c>
      <c r="G958" s="112" t="s">
        <v>57</v>
      </c>
      <c r="H958" s="78">
        <f>'Пр. 11'!I770+'Пр. 11'!I869</f>
        <v>68.9</v>
      </c>
      <c r="I958" s="78">
        <f>'Пр. 11'!J770+'Пр. 11'!J869</f>
        <v>68.9</v>
      </c>
      <c r="J958" s="113">
        <f t="shared" si="68"/>
        <v>0</v>
      </c>
      <c r="K958" s="78">
        <f>'Пр. 11'!L770+'Пр. 11'!L869</f>
        <v>0</v>
      </c>
      <c r="L958" s="78">
        <f>'Пр. 11'!M770+'Пр. 11'!M869</f>
        <v>0</v>
      </c>
    </row>
    <row r="959" spans="1:12" ht="18.75" customHeight="1">
      <c r="A959" s="92" t="s">
        <v>100</v>
      </c>
      <c r="B959" s="112" t="s">
        <v>442</v>
      </c>
      <c r="C959" s="112" t="s">
        <v>338</v>
      </c>
      <c r="D959" s="112" t="s">
        <v>153</v>
      </c>
      <c r="E959" s="112" t="s">
        <v>1169</v>
      </c>
      <c r="F959" s="129">
        <v>200</v>
      </c>
      <c r="G959" s="112" t="s">
        <v>101</v>
      </c>
      <c r="H959" s="78">
        <f>'Пр. 11'!I1140</f>
        <v>154.4</v>
      </c>
      <c r="I959" s="78">
        <f>'Пр. 11'!J1140</f>
        <v>154.4</v>
      </c>
      <c r="J959" s="113">
        <f t="shared" si="68"/>
        <v>0</v>
      </c>
      <c r="K959" s="78">
        <f>'Пр. 11'!L1140</f>
        <v>0</v>
      </c>
      <c r="L959" s="78">
        <f>'Пр. 11'!M1140</f>
        <v>0</v>
      </c>
    </row>
    <row r="960" spans="1:12" ht="21" customHeight="1">
      <c r="A960" s="124" t="s">
        <v>765</v>
      </c>
      <c r="B960" s="112" t="s">
        <v>442</v>
      </c>
      <c r="C960" s="112" t="s">
        <v>338</v>
      </c>
      <c r="D960" s="112" t="s">
        <v>153</v>
      </c>
      <c r="E960" s="112" t="s">
        <v>1169</v>
      </c>
      <c r="F960" s="129">
        <v>500</v>
      </c>
      <c r="G960" s="389"/>
      <c r="H960" s="78">
        <f>H961</f>
        <v>1680</v>
      </c>
      <c r="I960" s="78">
        <f>I961</f>
        <v>1680</v>
      </c>
      <c r="J960" s="113">
        <f t="shared" si="68"/>
        <v>0</v>
      </c>
      <c r="K960" s="78">
        <f>K961</f>
        <v>0</v>
      </c>
      <c r="L960" s="78">
        <f>L961</f>
        <v>0</v>
      </c>
    </row>
    <row r="961" spans="1:12" ht="54" customHeight="1">
      <c r="A961" s="124" t="s">
        <v>414</v>
      </c>
      <c r="B961" s="112" t="s">
        <v>442</v>
      </c>
      <c r="C961" s="112" t="s">
        <v>338</v>
      </c>
      <c r="D961" s="112" t="s">
        <v>153</v>
      </c>
      <c r="E961" s="112" t="s">
        <v>1169</v>
      </c>
      <c r="F961" s="129">
        <v>500</v>
      </c>
      <c r="G961" s="112" t="s">
        <v>49</v>
      </c>
      <c r="H961" s="78">
        <f>'Пр. 11'!I486</f>
        <v>1680</v>
      </c>
      <c r="I961" s="78">
        <f>'Пр. 11'!J486</f>
        <v>1680</v>
      </c>
      <c r="J961" s="113">
        <f t="shared" si="68"/>
        <v>0</v>
      </c>
      <c r="K961" s="78">
        <f>'Пр. 11'!L486</f>
        <v>0</v>
      </c>
      <c r="L961" s="78">
        <f>'Пр. 11'!M486</f>
        <v>0</v>
      </c>
    </row>
    <row r="962" spans="1:12" ht="35.25" customHeight="1">
      <c r="A962" s="114" t="s">
        <v>426</v>
      </c>
      <c r="B962" s="112" t="s">
        <v>442</v>
      </c>
      <c r="C962" s="129">
        <v>9</v>
      </c>
      <c r="D962" s="112" t="s">
        <v>153</v>
      </c>
      <c r="E962" s="112" t="s">
        <v>427</v>
      </c>
      <c r="F962" s="129"/>
      <c r="G962" s="112"/>
      <c r="H962" s="78">
        <f>H963</f>
        <v>2382.5</v>
      </c>
      <c r="I962" s="78">
        <f>I963</f>
        <v>2382.5</v>
      </c>
      <c r="J962" s="113">
        <f t="shared" si="68"/>
        <v>0</v>
      </c>
      <c r="K962" s="78">
        <f>K963</f>
        <v>2382.5</v>
      </c>
      <c r="L962" s="78">
        <f>L963</f>
        <v>2382.5</v>
      </c>
    </row>
    <row r="963" spans="1:12" ht="30.75" customHeight="1">
      <c r="A963" s="114" t="s">
        <v>758</v>
      </c>
      <c r="B963" s="112" t="s">
        <v>442</v>
      </c>
      <c r="C963" s="129">
        <v>9</v>
      </c>
      <c r="D963" s="112" t="s">
        <v>153</v>
      </c>
      <c r="E963" s="112" t="s">
        <v>427</v>
      </c>
      <c r="F963" s="129">
        <v>200</v>
      </c>
      <c r="G963" s="112"/>
      <c r="H963" s="78">
        <f>H964</f>
        <v>2382.5</v>
      </c>
      <c r="I963" s="78">
        <f>I964</f>
        <v>2382.5</v>
      </c>
      <c r="J963" s="113">
        <f t="shared" si="68"/>
        <v>0</v>
      </c>
      <c r="K963" s="78">
        <f>K964</f>
        <v>2382.5</v>
      </c>
      <c r="L963" s="78">
        <f>L964</f>
        <v>2382.5</v>
      </c>
    </row>
    <row r="964" spans="1:12" ht="23.25" customHeight="1">
      <c r="A964" s="114" t="s">
        <v>482</v>
      </c>
      <c r="B964" s="112" t="s">
        <v>442</v>
      </c>
      <c r="C964" s="129">
        <v>9</v>
      </c>
      <c r="D964" s="112" t="s">
        <v>153</v>
      </c>
      <c r="E964" s="112" t="s">
        <v>427</v>
      </c>
      <c r="F964" s="129">
        <v>200</v>
      </c>
      <c r="G964" s="112" t="s">
        <v>83</v>
      </c>
      <c r="H964" s="78">
        <f>'Пр. 11'!I290</f>
        <v>2382.5</v>
      </c>
      <c r="I964" s="78">
        <f>'Пр. 11'!J290</f>
        <v>2382.5</v>
      </c>
      <c r="J964" s="113">
        <f t="shared" si="68"/>
        <v>0</v>
      </c>
      <c r="K964" s="78">
        <f>'Пр. 11'!L290</f>
        <v>2382.5</v>
      </c>
      <c r="L964" s="78">
        <f>'Пр. 11'!M290</f>
        <v>2382.5</v>
      </c>
    </row>
    <row r="965" spans="1:12" ht="49.5" customHeight="1">
      <c r="A965" s="22" t="s">
        <v>210</v>
      </c>
      <c r="B965" s="112" t="s">
        <v>442</v>
      </c>
      <c r="C965" s="129">
        <v>9</v>
      </c>
      <c r="D965" s="112" t="s">
        <v>153</v>
      </c>
      <c r="E965" s="112" t="s">
        <v>211</v>
      </c>
      <c r="F965" s="111"/>
      <c r="G965" s="112"/>
      <c r="H965" s="78">
        <f>H966+H968+H975</f>
        <v>7229.9</v>
      </c>
      <c r="I965" s="78">
        <f>I966+I968+I975</f>
        <v>7229.9</v>
      </c>
      <c r="J965" s="113">
        <f t="shared" si="68"/>
        <v>0</v>
      </c>
      <c r="K965" s="78">
        <f>K966+K968+K975</f>
        <v>0</v>
      </c>
      <c r="L965" s="78">
        <f>L966+L968+L975</f>
        <v>0</v>
      </c>
    </row>
    <row r="966" spans="1:12" ht="32.25" customHeight="1" hidden="1">
      <c r="A966" s="114" t="s">
        <v>758</v>
      </c>
      <c r="B966" s="112" t="s">
        <v>442</v>
      </c>
      <c r="C966" s="129">
        <v>9</v>
      </c>
      <c r="D966" s="112" t="s">
        <v>153</v>
      </c>
      <c r="E966" s="112" t="s">
        <v>211</v>
      </c>
      <c r="F966" s="111" t="s">
        <v>757</v>
      </c>
      <c r="G966" s="112"/>
      <c r="H966" s="78">
        <f>H967</f>
        <v>0</v>
      </c>
      <c r="I966" s="78">
        <f>I967</f>
        <v>0</v>
      </c>
      <c r="J966" s="113">
        <f t="shared" si="68"/>
        <v>0</v>
      </c>
      <c r="K966" s="78">
        <f>K967</f>
        <v>0</v>
      </c>
      <c r="L966" s="78">
        <f>L967</f>
        <v>0</v>
      </c>
    </row>
    <row r="967" spans="1:12" ht="23.25" customHeight="1" hidden="1">
      <c r="A967" s="92" t="s">
        <v>56</v>
      </c>
      <c r="B967" s="112" t="s">
        <v>442</v>
      </c>
      <c r="C967" s="129">
        <v>9</v>
      </c>
      <c r="D967" s="112" t="s">
        <v>153</v>
      </c>
      <c r="E967" s="112" t="s">
        <v>211</v>
      </c>
      <c r="F967" s="111" t="s">
        <v>757</v>
      </c>
      <c r="G967" s="112" t="s">
        <v>57</v>
      </c>
      <c r="H967" s="78">
        <f>'Пр. 11'!I772</f>
        <v>0</v>
      </c>
      <c r="I967" s="78">
        <f>'Пр. 11'!J772</f>
        <v>0</v>
      </c>
      <c r="J967" s="113">
        <f t="shared" si="68"/>
        <v>0</v>
      </c>
      <c r="K967" s="78">
        <f>'Пр. 11'!L772</f>
        <v>0</v>
      </c>
      <c r="L967" s="78">
        <f>'Пр. 11'!M772</f>
        <v>0</v>
      </c>
    </row>
    <row r="968" spans="1:12" ht="19.5" customHeight="1">
      <c r="A968" s="115" t="s">
        <v>765</v>
      </c>
      <c r="B968" s="112" t="s">
        <v>442</v>
      </c>
      <c r="C968" s="129">
        <v>9</v>
      </c>
      <c r="D968" s="112" t="s">
        <v>153</v>
      </c>
      <c r="E968" s="112" t="s">
        <v>211</v>
      </c>
      <c r="F968" s="111" t="s">
        <v>766</v>
      </c>
      <c r="G968" s="112"/>
      <c r="H968" s="78">
        <f>H969+H970+H971+H972+H973+H974</f>
        <v>7229.9</v>
      </c>
      <c r="I968" s="78">
        <f>I969+I970+I971+I972+I973+I974</f>
        <v>7229.9</v>
      </c>
      <c r="J968" s="113">
        <f t="shared" si="68"/>
        <v>0</v>
      </c>
      <c r="K968" s="78">
        <f>K969+K970+K971+K972+K973+K974</f>
        <v>0</v>
      </c>
      <c r="L968" s="78">
        <f>L969+L970+L971+L972+L973+L974</f>
        <v>0</v>
      </c>
    </row>
    <row r="969" spans="1:12" ht="22.5" customHeight="1" hidden="1">
      <c r="A969" s="92" t="s">
        <v>56</v>
      </c>
      <c r="B969" s="112" t="s">
        <v>442</v>
      </c>
      <c r="C969" s="129">
        <v>9</v>
      </c>
      <c r="D969" s="112" t="s">
        <v>153</v>
      </c>
      <c r="E969" s="112" t="s">
        <v>211</v>
      </c>
      <c r="F969" s="111" t="s">
        <v>766</v>
      </c>
      <c r="G969" s="112" t="s">
        <v>57</v>
      </c>
      <c r="H969" s="78">
        <f>'Пр. 11'!I536+'Пр. 11'!I773</f>
        <v>0</v>
      </c>
      <c r="I969" s="78">
        <f>'Пр. 11'!J536+'Пр. 11'!J773</f>
        <v>0</v>
      </c>
      <c r="J969" s="113">
        <f t="shared" si="68"/>
        <v>0</v>
      </c>
      <c r="K969" s="78">
        <f>'Пр. 11'!L536+'Пр. 11'!L773</f>
        <v>0</v>
      </c>
      <c r="L969" s="78">
        <f>'Пр. 11'!M536+'Пр. 11'!M773</f>
        <v>0</v>
      </c>
    </row>
    <row r="970" spans="1:12" ht="18.75" customHeight="1">
      <c r="A970" s="146" t="s">
        <v>80</v>
      </c>
      <c r="B970" s="112" t="s">
        <v>442</v>
      </c>
      <c r="C970" s="129">
        <v>9</v>
      </c>
      <c r="D970" s="112" t="s">
        <v>153</v>
      </c>
      <c r="E970" s="112" t="s">
        <v>211</v>
      </c>
      <c r="F970" s="111" t="s">
        <v>766</v>
      </c>
      <c r="G970" s="112" t="s">
        <v>81</v>
      </c>
      <c r="H970" s="78">
        <f>'Пр. 11'!I623</f>
        <v>2040</v>
      </c>
      <c r="I970" s="78">
        <f>'Пр. 11'!J623</f>
        <v>2040</v>
      </c>
      <c r="J970" s="113">
        <f t="shared" si="68"/>
        <v>0</v>
      </c>
      <c r="K970" s="78">
        <f>'Пр. 11'!L623</f>
        <v>0</v>
      </c>
      <c r="L970" s="78">
        <f>'Пр. 11'!M623</f>
        <v>0</v>
      </c>
    </row>
    <row r="971" spans="1:12" ht="21" customHeight="1" hidden="1">
      <c r="A971" s="92" t="s">
        <v>82</v>
      </c>
      <c r="B971" s="112" t="s">
        <v>442</v>
      </c>
      <c r="C971" s="129">
        <v>9</v>
      </c>
      <c r="D971" s="112" t="s">
        <v>153</v>
      </c>
      <c r="E971" s="112" t="s">
        <v>211</v>
      </c>
      <c r="F971" s="111" t="s">
        <v>766</v>
      </c>
      <c r="G971" s="112" t="s">
        <v>83</v>
      </c>
      <c r="H971" s="78">
        <f>'Пр. 11'!I633</f>
        <v>0</v>
      </c>
      <c r="I971" s="78">
        <f>'Пр. 11'!J633</f>
        <v>0</v>
      </c>
      <c r="J971" s="113">
        <f t="shared" si="68"/>
        <v>0</v>
      </c>
      <c r="K971" s="78">
        <f>'Пр. 11'!L633</f>
        <v>0</v>
      </c>
      <c r="L971" s="78">
        <f>'Пр. 11'!M633</f>
        <v>0</v>
      </c>
    </row>
    <row r="972" spans="1:12" ht="21" customHeight="1">
      <c r="A972" s="148" t="s">
        <v>104</v>
      </c>
      <c r="B972" s="112" t="s">
        <v>442</v>
      </c>
      <c r="C972" s="129">
        <v>9</v>
      </c>
      <c r="D972" s="112" t="s">
        <v>153</v>
      </c>
      <c r="E972" s="112" t="s">
        <v>211</v>
      </c>
      <c r="F972" s="111" t="s">
        <v>766</v>
      </c>
      <c r="G972" s="112" t="s">
        <v>105</v>
      </c>
      <c r="H972" s="78">
        <f>'Пр. 11'!I650</f>
        <v>3373.5</v>
      </c>
      <c r="I972" s="78">
        <f>'Пр. 11'!J650</f>
        <v>3373.5</v>
      </c>
      <c r="J972" s="113">
        <f t="shared" si="68"/>
        <v>0</v>
      </c>
      <c r="K972" s="78">
        <f>'Пр. 11'!L650</f>
        <v>0</v>
      </c>
      <c r="L972" s="78">
        <f>'Пр. 11'!M650</f>
        <v>0</v>
      </c>
    </row>
    <row r="973" spans="1:12" ht="21" customHeight="1">
      <c r="A973" s="148" t="s">
        <v>120</v>
      </c>
      <c r="B973" s="112" t="s">
        <v>442</v>
      </c>
      <c r="C973" s="129">
        <v>9</v>
      </c>
      <c r="D973" s="112" t="s">
        <v>153</v>
      </c>
      <c r="E973" s="112" t="s">
        <v>211</v>
      </c>
      <c r="F973" s="111" t="s">
        <v>766</v>
      </c>
      <c r="G973" s="112" t="s">
        <v>121</v>
      </c>
      <c r="H973" s="78">
        <f>'Пр. 11'!I661</f>
        <v>1816.4</v>
      </c>
      <c r="I973" s="78">
        <f>'Пр. 11'!J661</f>
        <v>1816.4</v>
      </c>
      <c r="J973" s="113">
        <f t="shared" si="68"/>
        <v>0</v>
      </c>
      <c r="K973" s="78">
        <f>'Пр. 11'!L661</f>
        <v>0</v>
      </c>
      <c r="L973" s="78">
        <f>'Пр. 11'!M661</f>
        <v>0</v>
      </c>
    </row>
    <row r="974" spans="1:12" ht="21.75" customHeight="1" hidden="1">
      <c r="A974" s="93" t="s">
        <v>132</v>
      </c>
      <c r="B974" s="112" t="s">
        <v>442</v>
      </c>
      <c r="C974" s="129">
        <v>9</v>
      </c>
      <c r="D974" s="112" t="s">
        <v>153</v>
      </c>
      <c r="E974" s="112" t="s">
        <v>211</v>
      </c>
      <c r="F974" s="111" t="s">
        <v>766</v>
      </c>
      <c r="G974" s="112" t="s">
        <v>133</v>
      </c>
      <c r="H974" s="78">
        <f>'Пр. 11'!I689</f>
        <v>0</v>
      </c>
      <c r="I974" s="78">
        <f>'Пр. 11'!J689</f>
        <v>0</v>
      </c>
      <c r="J974" s="113">
        <f t="shared" si="68"/>
        <v>0</v>
      </c>
      <c r="K974" s="78">
        <f>'Пр. 11'!L689</f>
        <v>0</v>
      </c>
      <c r="L974" s="78">
        <f>'Пр. 11'!M689</f>
        <v>0</v>
      </c>
    </row>
    <row r="975" spans="1:12" ht="32.25" customHeight="1" hidden="1">
      <c r="A975" s="22" t="s">
        <v>763</v>
      </c>
      <c r="B975" s="112" t="s">
        <v>442</v>
      </c>
      <c r="C975" s="129">
        <v>9</v>
      </c>
      <c r="D975" s="112" t="s">
        <v>153</v>
      </c>
      <c r="E975" s="112" t="s">
        <v>211</v>
      </c>
      <c r="F975" s="111" t="s">
        <v>764</v>
      </c>
      <c r="G975" s="112"/>
      <c r="H975" s="78">
        <f>H976</f>
        <v>0</v>
      </c>
      <c r="I975" s="78">
        <f>I976</f>
        <v>0</v>
      </c>
      <c r="J975" s="113">
        <f t="shared" si="68"/>
        <v>0</v>
      </c>
      <c r="K975" s="78">
        <f>K976</f>
        <v>0</v>
      </c>
      <c r="L975" s="78">
        <f>L976</f>
        <v>0</v>
      </c>
    </row>
    <row r="976" spans="1:12" ht="24.75" customHeight="1" hidden="1">
      <c r="A976" s="22" t="s">
        <v>92</v>
      </c>
      <c r="B976" s="112" t="s">
        <v>442</v>
      </c>
      <c r="C976" s="129">
        <v>9</v>
      </c>
      <c r="D976" s="112" t="s">
        <v>153</v>
      </c>
      <c r="E976" s="112" t="s">
        <v>211</v>
      </c>
      <c r="F976" s="111" t="s">
        <v>764</v>
      </c>
      <c r="G976" s="112" t="s">
        <v>95</v>
      </c>
      <c r="H976" s="78">
        <f>'Пр. 11'!I331</f>
        <v>0</v>
      </c>
      <c r="I976" s="78">
        <f>'Пр. 11'!J331</f>
        <v>0</v>
      </c>
      <c r="J976" s="113">
        <f t="shared" si="68"/>
        <v>0</v>
      </c>
      <c r="K976" s="78">
        <f>'Пр. 11'!L331</f>
        <v>0</v>
      </c>
      <c r="L976" s="78">
        <f>'Пр. 11'!M331</f>
        <v>0</v>
      </c>
    </row>
    <row r="977" spans="1:12" ht="39" customHeight="1" hidden="1">
      <c r="A977" s="114" t="s">
        <v>483</v>
      </c>
      <c r="B977" s="112" t="s">
        <v>442</v>
      </c>
      <c r="C977" s="129">
        <v>9</v>
      </c>
      <c r="D977" s="112" t="s">
        <v>153</v>
      </c>
      <c r="E977" s="112" t="s">
        <v>484</v>
      </c>
      <c r="F977" s="111"/>
      <c r="G977" s="112"/>
      <c r="H977" s="78">
        <f>H978</f>
        <v>0</v>
      </c>
      <c r="I977" s="78">
        <f>I978</f>
        <v>0</v>
      </c>
      <c r="J977" s="113">
        <f t="shared" si="68"/>
        <v>0</v>
      </c>
      <c r="K977" s="78">
        <f>K978</f>
        <v>0</v>
      </c>
      <c r="L977" s="78">
        <f>L978</f>
        <v>0</v>
      </c>
    </row>
    <row r="978" spans="1:12" ht="21" customHeight="1" hidden="1">
      <c r="A978" s="115" t="s">
        <v>765</v>
      </c>
      <c r="B978" s="112" t="s">
        <v>442</v>
      </c>
      <c r="C978" s="129">
        <v>9</v>
      </c>
      <c r="D978" s="112" t="s">
        <v>153</v>
      </c>
      <c r="E978" s="112" t="s">
        <v>484</v>
      </c>
      <c r="F978" s="111" t="s">
        <v>766</v>
      </c>
      <c r="G978" s="112"/>
      <c r="H978" s="78">
        <f>H979+H980+H981+H982+H983+H984</f>
        <v>0</v>
      </c>
      <c r="I978" s="78">
        <f>I979+I980+I981+I982+I983+I984</f>
        <v>0</v>
      </c>
      <c r="J978" s="113">
        <f t="shared" si="68"/>
        <v>0</v>
      </c>
      <c r="K978" s="78">
        <f>K979+K980+K981+K982+K983+K984</f>
        <v>0</v>
      </c>
      <c r="L978" s="78">
        <f>L979+L980+L981+L982+L983+L984</f>
        <v>0</v>
      </c>
    </row>
    <row r="979" spans="1:12" ht="48.75" customHeight="1" hidden="1">
      <c r="A979" s="115" t="s">
        <v>414</v>
      </c>
      <c r="B979" s="112" t="s">
        <v>442</v>
      </c>
      <c r="C979" s="129">
        <v>9</v>
      </c>
      <c r="D979" s="112" t="s">
        <v>153</v>
      </c>
      <c r="E979" s="112" t="s">
        <v>484</v>
      </c>
      <c r="F979" s="111" t="s">
        <v>766</v>
      </c>
      <c r="G979" s="112" t="s">
        <v>49</v>
      </c>
      <c r="H979" s="78">
        <f>'Пр. 11'!I488</f>
        <v>0</v>
      </c>
      <c r="I979" s="78">
        <f>'Пр. 11'!J488</f>
        <v>0</v>
      </c>
      <c r="J979" s="113">
        <f t="shared" si="68"/>
        <v>0</v>
      </c>
      <c r="K979" s="78">
        <f>'Пр. 11'!L488</f>
        <v>0</v>
      </c>
      <c r="L979" s="78">
        <f>'Пр. 11'!M488</f>
        <v>0</v>
      </c>
    </row>
    <row r="980" spans="1:12" ht="23.25" customHeight="1" hidden="1">
      <c r="A980" s="114" t="s">
        <v>56</v>
      </c>
      <c r="B980" s="112" t="s">
        <v>442</v>
      </c>
      <c r="C980" s="129">
        <v>9</v>
      </c>
      <c r="D980" s="112" t="s">
        <v>153</v>
      </c>
      <c r="E980" s="112" t="s">
        <v>484</v>
      </c>
      <c r="F980" s="111" t="s">
        <v>766</v>
      </c>
      <c r="G980" s="112" t="s">
        <v>57</v>
      </c>
      <c r="H980" s="78">
        <f>'Пр. 11'!I538</f>
        <v>0</v>
      </c>
      <c r="I980" s="78">
        <f>'Пр. 11'!J538</f>
        <v>0</v>
      </c>
      <c r="J980" s="113">
        <f t="shared" si="68"/>
        <v>0</v>
      </c>
      <c r="K980" s="78">
        <f>'Пр. 11'!L538</f>
        <v>0</v>
      </c>
      <c r="L980" s="78">
        <f>'Пр. 11'!M538</f>
        <v>0</v>
      </c>
    </row>
    <row r="981" spans="1:12" ht="21" customHeight="1" hidden="1">
      <c r="A981" s="149" t="s">
        <v>68</v>
      </c>
      <c r="B981" s="112" t="s">
        <v>442</v>
      </c>
      <c r="C981" s="129">
        <v>9</v>
      </c>
      <c r="D981" s="112" t="s">
        <v>153</v>
      </c>
      <c r="E981" s="112" t="s">
        <v>484</v>
      </c>
      <c r="F981" s="111" t="s">
        <v>766</v>
      </c>
      <c r="G981" s="112" t="s">
        <v>69</v>
      </c>
      <c r="H981" s="78">
        <f>'Пр. 11'!I564</f>
        <v>0</v>
      </c>
      <c r="I981" s="78">
        <f>'Пр. 11'!J564</f>
        <v>0</v>
      </c>
      <c r="J981" s="113">
        <f t="shared" si="68"/>
        <v>0</v>
      </c>
      <c r="K981" s="78">
        <f>'Пр. 11'!L564</f>
        <v>0</v>
      </c>
      <c r="L981" s="78">
        <f>'Пр. 11'!M564</f>
        <v>0</v>
      </c>
    </row>
    <row r="982" spans="1:12" ht="21" customHeight="1" hidden="1">
      <c r="A982" s="22" t="s">
        <v>80</v>
      </c>
      <c r="B982" s="112" t="s">
        <v>442</v>
      </c>
      <c r="C982" s="129">
        <v>9</v>
      </c>
      <c r="D982" s="112" t="s">
        <v>153</v>
      </c>
      <c r="E982" s="112" t="s">
        <v>484</v>
      </c>
      <c r="F982" s="111" t="s">
        <v>766</v>
      </c>
      <c r="G982" s="112" t="s">
        <v>81</v>
      </c>
      <c r="H982" s="78">
        <f>'Пр. 11'!I625</f>
        <v>0</v>
      </c>
      <c r="I982" s="78">
        <f>'Пр. 11'!J625</f>
        <v>0</v>
      </c>
      <c r="J982" s="113">
        <f t="shared" si="68"/>
        <v>0</v>
      </c>
      <c r="K982" s="78">
        <f>'Пр. 11'!L625</f>
        <v>0</v>
      </c>
      <c r="L982" s="78">
        <f>'Пр. 11'!M625</f>
        <v>0</v>
      </c>
    </row>
    <row r="983" spans="1:12" ht="24.75" customHeight="1" hidden="1">
      <c r="A983" s="22" t="s">
        <v>104</v>
      </c>
      <c r="B983" s="112" t="s">
        <v>442</v>
      </c>
      <c r="C983" s="129">
        <v>9</v>
      </c>
      <c r="D983" s="112" t="s">
        <v>153</v>
      </c>
      <c r="E983" s="112" t="s">
        <v>484</v>
      </c>
      <c r="F983" s="111" t="s">
        <v>766</v>
      </c>
      <c r="G983" s="112" t="s">
        <v>105</v>
      </c>
      <c r="H983" s="78">
        <f>'Пр. 11'!I652</f>
        <v>0</v>
      </c>
      <c r="I983" s="78">
        <f>'Пр. 11'!J652</f>
        <v>0</v>
      </c>
      <c r="J983" s="113">
        <f t="shared" si="68"/>
        <v>0</v>
      </c>
      <c r="K983" s="78">
        <f>'Пр. 11'!L652</f>
        <v>0</v>
      </c>
      <c r="L983" s="78">
        <f>'Пр. 11'!M652</f>
        <v>0</v>
      </c>
    </row>
    <row r="984" spans="1:12" ht="21" customHeight="1" hidden="1">
      <c r="A984" s="93" t="s">
        <v>132</v>
      </c>
      <c r="B984" s="112" t="s">
        <v>442</v>
      </c>
      <c r="C984" s="129">
        <v>9</v>
      </c>
      <c r="D984" s="112" t="s">
        <v>153</v>
      </c>
      <c r="E984" s="112" t="s">
        <v>484</v>
      </c>
      <c r="F984" s="111" t="s">
        <v>766</v>
      </c>
      <c r="G984" s="112" t="s">
        <v>133</v>
      </c>
      <c r="H984" s="78">
        <f>'Пр. 11'!I691</f>
        <v>0</v>
      </c>
      <c r="I984" s="78">
        <f>'Пр. 11'!J691</f>
        <v>0</v>
      </c>
      <c r="J984" s="113">
        <f>I984-H984</f>
        <v>0</v>
      </c>
      <c r="K984" s="78">
        <f>'Пр. 11'!L691</f>
        <v>0</v>
      </c>
      <c r="L984" s="78">
        <f>'Пр. 11'!M691</f>
        <v>0</v>
      </c>
    </row>
    <row r="985" spans="1:12" ht="62.25" customHeight="1" hidden="1">
      <c r="A985" s="114" t="s">
        <v>314</v>
      </c>
      <c r="B985" s="112" t="s">
        <v>442</v>
      </c>
      <c r="C985" s="129">
        <v>9</v>
      </c>
      <c r="D985" s="112" t="s">
        <v>153</v>
      </c>
      <c r="E985" s="111" t="s">
        <v>315</v>
      </c>
      <c r="F985" s="111"/>
      <c r="G985" s="112"/>
      <c r="H985" s="78">
        <f>H986</f>
        <v>0</v>
      </c>
      <c r="I985" s="78">
        <f>I986</f>
        <v>0</v>
      </c>
      <c r="J985" s="113">
        <f aca="true" t="shared" si="69" ref="J985:J1045">I985-H985</f>
        <v>0</v>
      </c>
      <c r="K985" s="78">
        <f>K986</f>
        <v>0</v>
      </c>
      <c r="L985" s="78">
        <f>L986</f>
        <v>0</v>
      </c>
    </row>
    <row r="986" spans="1:12" ht="18.75" customHeight="1" hidden="1">
      <c r="A986" s="114" t="s">
        <v>759</v>
      </c>
      <c r="B986" s="112" t="s">
        <v>442</v>
      </c>
      <c r="C986" s="129">
        <v>9</v>
      </c>
      <c r="D986" s="112" t="s">
        <v>153</v>
      </c>
      <c r="E986" s="111" t="s">
        <v>315</v>
      </c>
      <c r="F986" s="111" t="s">
        <v>760</v>
      </c>
      <c r="G986" s="112"/>
      <c r="H986" s="78">
        <f>H987</f>
        <v>0</v>
      </c>
      <c r="I986" s="78">
        <f>I987</f>
        <v>0</v>
      </c>
      <c r="J986" s="113">
        <f t="shared" si="69"/>
        <v>0</v>
      </c>
      <c r="K986" s="78">
        <f>K987</f>
        <v>0</v>
      </c>
      <c r="L986" s="78">
        <f>L987</f>
        <v>0</v>
      </c>
    </row>
    <row r="987" spans="1:12" ht="22.5" customHeight="1" hidden="1">
      <c r="A987" s="114" t="s">
        <v>112</v>
      </c>
      <c r="B987" s="112" t="s">
        <v>442</v>
      </c>
      <c r="C987" s="129">
        <v>9</v>
      </c>
      <c r="D987" s="112" t="s">
        <v>153</v>
      </c>
      <c r="E987" s="111" t="s">
        <v>315</v>
      </c>
      <c r="F987" s="111" t="s">
        <v>760</v>
      </c>
      <c r="G987" s="112" t="s">
        <v>113</v>
      </c>
      <c r="H987" s="78">
        <f>'Пр. 11'!I442</f>
        <v>0</v>
      </c>
      <c r="I987" s="78">
        <f>'Пр. 11'!J442</f>
        <v>0</v>
      </c>
      <c r="J987" s="113">
        <f t="shared" si="69"/>
        <v>0</v>
      </c>
      <c r="K987" s="78">
        <f>'Пр. 11'!L442</f>
        <v>0</v>
      </c>
      <c r="L987" s="78">
        <f>'Пр. 11'!M442</f>
        <v>0</v>
      </c>
    </row>
    <row r="988" spans="1:12" ht="68.25" customHeight="1" hidden="1">
      <c r="A988" s="114" t="s">
        <v>316</v>
      </c>
      <c r="B988" s="112" t="s">
        <v>442</v>
      </c>
      <c r="C988" s="129">
        <v>9</v>
      </c>
      <c r="D988" s="112" t="s">
        <v>153</v>
      </c>
      <c r="E988" s="111" t="s">
        <v>317</v>
      </c>
      <c r="F988" s="111"/>
      <c r="G988" s="112"/>
      <c r="H988" s="78">
        <f>H989</f>
        <v>0</v>
      </c>
      <c r="I988" s="78">
        <f>I989</f>
        <v>0</v>
      </c>
      <c r="J988" s="113">
        <f t="shared" si="69"/>
        <v>0</v>
      </c>
      <c r="K988" s="78">
        <f>K989</f>
        <v>0</v>
      </c>
      <c r="L988" s="78">
        <f>L989</f>
        <v>0</v>
      </c>
    </row>
    <row r="989" spans="1:12" ht="18" customHeight="1" hidden="1">
      <c r="A989" s="114" t="s">
        <v>759</v>
      </c>
      <c r="B989" s="112" t="s">
        <v>442</v>
      </c>
      <c r="C989" s="129">
        <v>9</v>
      </c>
      <c r="D989" s="112" t="s">
        <v>153</v>
      </c>
      <c r="E989" s="111" t="s">
        <v>317</v>
      </c>
      <c r="F989" s="111" t="s">
        <v>760</v>
      </c>
      <c r="G989" s="112"/>
      <c r="H989" s="78">
        <f>H990</f>
        <v>0</v>
      </c>
      <c r="I989" s="78">
        <f>I990</f>
        <v>0</v>
      </c>
      <c r="J989" s="113">
        <f t="shared" si="69"/>
        <v>0</v>
      </c>
      <c r="K989" s="78">
        <f>K990</f>
        <v>0</v>
      </c>
      <c r="L989" s="78">
        <f>L990</f>
        <v>0</v>
      </c>
    </row>
    <row r="990" spans="1:12" ht="18.75" customHeight="1" hidden="1">
      <c r="A990" s="114" t="s">
        <v>112</v>
      </c>
      <c r="B990" s="112" t="s">
        <v>442</v>
      </c>
      <c r="C990" s="129">
        <v>9</v>
      </c>
      <c r="D990" s="112" t="s">
        <v>153</v>
      </c>
      <c r="E990" s="111" t="s">
        <v>317</v>
      </c>
      <c r="F990" s="111" t="s">
        <v>760</v>
      </c>
      <c r="G990" s="112" t="s">
        <v>113</v>
      </c>
      <c r="H990" s="78">
        <f>'Пр. 11'!I444</f>
        <v>0</v>
      </c>
      <c r="I990" s="78">
        <f>'Пр. 11'!J444</f>
        <v>0</v>
      </c>
      <c r="J990" s="113">
        <f t="shared" si="69"/>
        <v>0</v>
      </c>
      <c r="K990" s="78">
        <f>'Пр. 11'!L444</f>
        <v>0</v>
      </c>
      <c r="L990" s="78">
        <f>'Пр. 11'!M444</f>
        <v>0</v>
      </c>
    </row>
    <row r="991" spans="1:12" ht="67.5" customHeight="1" hidden="1">
      <c r="A991" s="114" t="s">
        <v>318</v>
      </c>
      <c r="B991" s="112" t="s">
        <v>442</v>
      </c>
      <c r="C991" s="129">
        <v>9</v>
      </c>
      <c r="D991" s="112" t="s">
        <v>153</v>
      </c>
      <c r="E991" s="111" t="s">
        <v>319</v>
      </c>
      <c r="F991" s="111"/>
      <c r="G991" s="112"/>
      <c r="H991" s="78">
        <f>H992</f>
        <v>0</v>
      </c>
      <c r="I991" s="78">
        <f>I992</f>
        <v>0</v>
      </c>
      <c r="J991" s="113">
        <f t="shared" si="69"/>
        <v>0</v>
      </c>
      <c r="K991" s="78">
        <f>K992</f>
        <v>0</v>
      </c>
      <c r="L991" s="78">
        <f>L992</f>
        <v>0</v>
      </c>
    </row>
    <row r="992" spans="1:12" ht="20.25" customHeight="1" hidden="1">
      <c r="A992" s="114" t="s">
        <v>759</v>
      </c>
      <c r="B992" s="112" t="s">
        <v>442</v>
      </c>
      <c r="C992" s="129">
        <v>9</v>
      </c>
      <c r="D992" s="112" t="s">
        <v>153</v>
      </c>
      <c r="E992" s="111" t="s">
        <v>319</v>
      </c>
      <c r="F992" s="111" t="s">
        <v>760</v>
      </c>
      <c r="G992" s="112"/>
      <c r="H992" s="78">
        <f>H993</f>
        <v>0</v>
      </c>
      <c r="I992" s="78">
        <f>I993</f>
        <v>0</v>
      </c>
      <c r="J992" s="113">
        <f t="shared" si="69"/>
        <v>0</v>
      </c>
      <c r="K992" s="78">
        <f>K993</f>
        <v>0</v>
      </c>
      <c r="L992" s="78">
        <f>L993</f>
        <v>0</v>
      </c>
    </row>
    <row r="993" spans="1:12" ht="22.5" customHeight="1" hidden="1">
      <c r="A993" s="114" t="s">
        <v>112</v>
      </c>
      <c r="B993" s="112" t="s">
        <v>442</v>
      </c>
      <c r="C993" s="129">
        <v>9</v>
      </c>
      <c r="D993" s="112" t="s">
        <v>153</v>
      </c>
      <c r="E993" s="111" t="s">
        <v>319</v>
      </c>
      <c r="F993" s="111" t="s">
        <v>760</v>
      </c>
      <c r="G993" s="112" t="s">
        <v>113</v>
      </c>
      <c r="H993" s="78">
        <f>'Пр. 11'!I446</f>
        <v>0</v>
      </c>
      <c r="I993" s="78">
        <f>'Пр. 11'!J446</f>
        <v>0</v>
      </c>
      <c r="J993" s="113">
        <f t="shared" si="69"/>
        <v>0</v>
      </c>
      <c r="K993" s="78">
        <f>'Пр. 11'!L446</f>
        <v>0</v>
      </c>
      <c r="L993" s="78">
        <f>'Пр. 11'!M446</f>
        <v>0</v>
      </c>
    </row>
    <row r="994" spans="1:12" ht="63.75" customHeight="1" hidden="1">
      <c r="A994" s="114" t="s">
        <v>320</v>
      </c>
      <c r="B994" s="112" t="s">
        <v>442</v>
      </c>
      <c r="C994" s="129">
        <v>9</v>
      </c>
      <c r="D994" s="112" t="s">
        <v>153</v>
      </c>
      <c r="E994" s="111" t="s">
        <v>321</v>
      </c>
      <c r="F994" s="111"/>
      <c r="G994" s="112"/>
      <c r="H994" s="78">
        <f>H995</f>
        <v>0</v>
      </c>
      <c r="I994" s="78">
        <f>I995</f>
        <v>0</v>
      </c>
      <c r="J994" s="113">
        <f t="shared" si="69"/>
        <v>0</v>
      </c>
      <c r="K994" s="78">
        <f>K995</f>
        <v>0</v>
      </c>
      <c r="L994" s="78">
        <f>L995</f>
        <v>0</v>
      </c>
    </row>
    <row r="995" spans="1:12" ht="21" customHeight="1" hidden="1">
      <c r="A995" s="114" t="s">
        <v>759</v>
      </c>
      <c r="B995" s="112" t="s">
        <v>442</v>
      </c>
      <c r="C995" s="129">
        <v>9</v>
      </c>
      <c r="D995" s="112" t="s">
        <v>153</v>
      </c>
      <c r="E995" s="111" t="s">
        <v>321</v>
      </c>
      <c r="F995" s="111" t="s">
        <v>760</v>
      </c>
      <c r="G995" s="112"/>
      <c r="H995" s="78">
        <f>H996</f>
        <v>0</v>
      </c>
      <c r="I995" s="78">
        <f>I996</f>
        <v>0</v>
      </c>
      <c r="J995" s="113">
        <f t="shared" si="69"/>
        <v>0</v>
      </c>
      <c r="K995" s="78">
        <f>K996</f>
        <v>0</v>
      </c>
      <c r="L995" s="78">
        <f>L996</f>
        <v>0</v>
      </c>
    </row>
    <row r="996" spans="1:12" ht="17.25" customHeight="1" hidden="1">
      <c r="A996" s="114" t="s">
        <v>112</v>
      </c>
      <c r="B996" s="112" t="s">
        <v>442</v>
      </c>
      <c r="C996" s="129">
        <v>9</v>
      </c>
      <c r="D996" s="112" t="s">
        <v>153</v>
      </c>
      <c r="E996" s="111" t="s">
        <v>321</v>
      </c>
      <c r="F996" s="111" t="s">
        <v>760</v>
      </c>
      <c r="G996" s="112" t="s">
        <v>113</v>
      </c>
      <c r="H996" s="78">
        <f>'Пр. 11'!I448</f>
        <v>0</v>
      </c>
      <c r="I996" s="78">
        <f>'Пр. 11'!J448</f>
        <v>0</v>
      </c>
      <c r="J996" s="113">
        <f t="shared" si="69"/>
        <v>0</v>
      </c>
      <c r="K996" s="78">
        <f>'Пр. 11'!L448</f>
        <v>0</v>
      </c>
      <c r="L996" s="78">
        <f>'Пр. 11'!M448</f>
        <v>0</v>
      </c>
    </row>
    <row r="997" spans="1:12" ht="47.25" customHeight="1">
      <c r="A997" s="114" t="s">
        <v>485</v>
      </c>
      <c r="B997" s="112" t="s">
        <v>442</v>
      </c>
      <c r="C997" s="129">
        <v>9</v>
      </c>
      <c r="D997" s="112" t="s">
        <v>153</v>
      </c>
      <c r="E997" s="142" t="s">
        <v>486</v>
      </c>
      <c r="F997" s="143"/>
      <c r="G997" s="142"/>
      <c r="H997" s="78">
        <f>H998+H1000+H1002</f>
        <v>0</v>
      </c>
      <c r="I997" s="78">
        <f>I998+I1000+I1002</f>
        <v>0</v>
      </c>
      <c r="J997" s="113">
        <f t="shared" si="69"/>
        <v>0</v>
      </c>
      <c r="K997" s="78">
        <f>K998+K1000+K1002</f>
        <v>13295</v>
      </c>
      <c r="L997" s="78">
        <f>L998+L1000+L1002</f>
        <v>12839.1</v>
      </c>
    </row>
    <row r="998" spans="1:12" ht="68.25" customHeight="1">
      <c r="A998" s="119" t="s">
        <v>755</v>
      </c>
      <c r="B998" s="112" t="s">
        <v>442</v>
      </c>
      <c r="C998" s="129">
        <v>9</v>
      </c>
      <c r="D998" s="112" t="s">
        <v>153</v>
      </c>
      <c r="E998" s="142" t="s">
        <v>486</v>
      </c>
      <c r="F998" s="143">
        <v>100</v>
      </c>
      <c r="G998" s="142"/>
      <c r="H998" s="78">
        <f>H999</f>
        <v>0</v>
      </c>
      <c r="I998" s="78">
        <f>I999</f>
        <v>0</v>
      </c>
      <c r="J998" s="113">
        <f t="shared" si="69"/>
        <v>0</v>
      </c>
      <c r="K998" s="78">
        <f>K999</f>
        <v>9397.9</v>
      </c>
      <c r="L998" s="78">
        <f>L999</f>
        <v>9733</v>
      </c>
    </row>
    <row r="999" spans="1:14" ht="21.75" customHeight="1">
      <c r="A999" s="114" t="s">
        <v>56</v>
      </c>
      <c r="B999" s="112" t="s">
        <v>442</v>
      </c>
      <c r="C999" s="129">
        <v>9</v>
      </c>
      <c r="D999" s="112" t="s">
        <v>153</v>
      </c>
      <c r="E999" s="142" t="s">
        <v>486</v>
      </c>
      <c r="F999" s="143">
        <v>100</v>
      </c>
      <c r="G999" s="142" t="s">
        <v>57</v>
      </c>
      <c r="H999" s="78">
        <f>'Пр. 11'!I775</f>
        <v>0</v>
      </c>
      <c r="I999" s="78">
        <f>'Пр. 11'!J775</f>
        <v>0</v>
      </c>
      <c r="J999" s="113">
        <f t="shared" si="69"/>
        <v>0</v>
      </c>
      <c r="K999" s="78">
        <f>'Пр. 11'!L775</f>
        <v>9397.9</v>
      </c>
      <c r="L999" s="78">
        <f>'Пр. 11'!M775</f>
        <v>9733</v>
      </c>
      <c r="N999" s="39"/>
    </row>
    <row r="1000" spans="1:14" ht="36.75" customHeight="1">
      <c r="A1000" s="114" t="s">
        <v>758</v>
      </c>
      <c r="B1000" s="112" t="s">
        <v>442</v>
      </c>
      <c r="C1000" s="129">
        <v>9</v>
      </c>
      <c r="D1000" s="112" t="s">
        <v>153</v>
      </c>
      <c r="E1000" s="142" t="s">
        <v>486</v>
      </c>
      <c r="F1000" s="143">
        <v>200</v>
      </c>
      <c r="G1000" s="142"/>
      <c r="H1000" s="78">
        <f>H1001</f>
        <v>0</v>
      </c>
      <c r="I1000" s="78">
        <f>I1001</f>
        <v>0</v>
      </c>
      <c r="J1000" s="113">
        <f t="shared" si="69"/>
        <v>0</v>
      </c>
      <c r="K1000" s="78">
        <f>K1001</f>
        <v>3887.1</v>
      </c>
      <c r="L1000" s="78">
        <f>L1001</f>
        <v>3096.1</v>
      </c>
      <c r="N1000" s="39"/>
    </row>
    <row r="1001" spans="1:12" ht="17.25" customHeight="1">
      <c r="A1001" s="114" t="s">
        <v>56</v>
      </c>
      <c r="B1001" s="112" t="s">
        <v>442</v>
      </c>
      <c r="C1001" s="129">
        <v>9</v>
      </c>
      <c r="D1001" s="112" t="s">
        <v>153</v>
      </c>
      <c r="E1001" s="142" t="s">
        <v>486</v>
      </c>
      <c r="F1001" s="143">
        <v>200</v>
      </c>
      <c r="G1001" s="142" t="s">
        <v>57</v>
      </c>
      <c r="H1001" s="78">
        <f>'Пр. 11'!I776</f>
        <v>0</v>
      </c>
      <c r="I1001" s="78">
        <f>'Пр. 11'!J776</f>
        <v>0</v>
      </c>
      <c r="J1001" s="113">
        <f t="shared" si="69"/>
        <v>0</v>
      </c>
      <c r="K1001" s="78">
        <f>'Пр. 11'!L776</f>
        <v>3887.1</v>
      </c>
      <c r="L1001" s="78">
        <f>'Пр. 11'!M776</f>
        <v>3096.1</v>
      </c>
    </row>
    <row r="1002" spans="1:12" ht="23.25" customHeight="1">
      <c r="A1002" s="114" t="s">
        <v>759</v>
      </c>
      <c r="B1002" s="112" t="s">
        <v>442</v>
      </c>
      <c r="C1002" s="129">
        <v>9</v>
      </c>
      <c r="D1002" s="112" t="s">
        <v>153</v>
      </c>
      <c r="E1002" s="142" t="s">
        <v>486</v>
      </c>
      <c r="F1002" s="143">
        <v>800</v>
      </c>
      <c r="G1002" s="142"/>
      <c r="H1002" s="78">
        <f>H1003</f>
        <v>0</v>
      </c>
      <c r="I1002" s="78">
        <f>I1003</f>
        <v>0</v>
      </c>
      <c r="J1002" s="113">
        <f t="shared" si="69"/>
        <v>0</v>
      </c>
      <c r="K1002" s="78">
        <f>K1003</f>
        <v>10</v>
      </c>
      <c r="L1002" s="78">
        <f>L1003</f>
        <v>10</v>
      </c>
    </row>
    <row r="1003" spans="1:12" ht="17.25" customHeight="1">
      <c r="A1003" s="114" t="s">
        <v>56</v>
      </c>
      <c r="B1003" s="112" t="s">
        <v>442</v>
      </c>
      <c r="C1003" s="129">
        <v>9</v>
      </c>
      <c r="D1003" s="112" t="s">
        <v>153</v>
      </c>
      <c r="E1003" s="142" t="s">
        <v>486</v>
      </c>
      <c r="F1003" s="143">
        <v>800</v>
      </c>
      <c r="G1003" s="142" t="s">
        <v>57</v>
      </c>
      <c r="H1003" s="78">
        <f>'Пр. 11'!I777</f>
        <v>0</v>
      </c>
      <c r="I1003" s="78">
        <f>'Пр. 11'!J777</f>
        <v>0</v>
      </c>
      <c r="J1003" s="113">
        <f t="shared" si="69"/>
        <v>0</v>
      </c>
      <c r="K1003" s="78">
        <f>'Пр. 11'!L777</f>
        <v>10</v>
      </c>
      <c r="L1003" s="78">
        <f>'Пр. 11'!M777</f>
        <v>10</v>
      </c>
    </row>
    <row r="1004" spans="1:12" ht="50.25" customHeight="1">
      <c r="A1004" s="114" t="s">
        <v>487</v>
      </c>
      <c r="B1004" s="112" t="s">
        <v>442</v>
      </c>
      <c r="C1004" s="129">
        <v>9</v>
      </c>
      <c r="D1004" s="112" t="s">
        <v>153</v>
      </c>
      <c r="E1004" s="142" t="s">
        <v>488</v>
      </c>
      <c r="F1004" s="143"/>
      <c r="G1004" s="142"/>
      <c r="H1004" s="78">
        <f>H1005+H1007+H1009</f>
        <v>0</v>
      </c>
      <c r="I1004" s="78">
        <f>I1005+I1007+I1009</f>
        <v>0</v>
      </c>
      <c r="J1004" s="113">
        <f t="shared" si="69"/>
        <v>0</v>
      </c>
      <c r="K1004" s="78">
        <f>K1005+K1007+K1009</f>
        <v>2521</v>
      </c>
      <c r="L1004" s="78">
        <f>L1005+L1007+L1009</f>
        <v>2622</v>
      </c>
    </row>
    <row r="1005" spans="1:12" ht="63" customHeight="1">
      <c r="A1005" s="119" t="s">
        <v>755</v>
      </c>
      <c r="B1005" s="112" t="s">
        <v>442</v>
      </c>
      <c r="C1005" s="129">
        <v>9</v>
      </c>
      <c r="D1005" s="112" t="s">
        <v>153</v>
      </c>
      <c r="E1005" s="142" t="s">
        <v>488</v>
      </c>
      <c r="F1005" s="143">
        <v>100</v>
      </c>
      <c r="G1005" s="142"/>
      <c r="H1005" s="78">
        <f>H1006</f>
        <v>0</v>
      </c>
      <c r="I1005" s="78">
        <f>I1006</f>
        <v>0</v>
      </c>
      <c r="J1005" s="113">
        <f t="shared" si="69"/>
        <v>0</v>
      </c>
      <c r="K1005" s="78">
        <f>K1006</f>
        <v>2372</v>
      </c>
      <c r="L1005" s="78">
        <f>L1006</f>
        <v>2467</v>
      </c>
    </row>
    <row r="1006" spans="1:12" ht="18" customHeight="1">
      <c r="A1006" s="114" t="s">
        <v>56</v>
      </c>
      <c r="B1006" s="112" t="s">
        <v>442</v>
      </c>
      <c r="C1006" s="129">
        <v>9</v>
      </c>
      <c r="D1006" s="112" t="s">
        <v>153</v>
      </c>
      <c r="E1006" s="142" t="s">
        <v>488</v>
      </c>
      <c r="F1006" s="143">
        <v>100</v>
      </c>
      <c r="G1006" s="142" t="s">
        <v>57</v>
      </c>
      <c r="H1006" s="78">
        <f>'Пр. 11'!I871</f>
        <v>0</v>
      </c>
      <c r="I1006" s="78">
        <f>'Пр. 11'!J871</f>
        <v>0</v>
      </c>
      <c r="J1006" s="113">
        <f t="shared" si="69"/>
        <v>0</v>
      </c>
      <c r="K1006" s="78">
        <f>'Пр. 11'!L871</f>
        <v>2372</v>
      </c>
      <c r="L1006" s="78">
        <f>'Пр. 11'!M871</f>
        <v>2467</v>
      </c>
    </row>
    <row r="1007" spans="1:12" ht="37.5" customHeight="1">
      <c r="A1007" s="114" t="s">
        <v>758</v>
      </c>
      <c r="B1007" s="112" t="s">
        <v>442</v>
      </c>
      <c r="C1007" s="129">
        <v>9</v>
      </c>
      <c r="D1007" s="112" t="s">
        <v>153</v>
      </c>
      <c r="E1007" s="142" t="s">
        <v>488</v>
      </c>
      <c r="F1007" s="143">
        <v>200</v>
      </c>
      <c r="G1007" s="142"/>
      <c r="H1007" s="78">
        <f>H1008</f>
        <v>0</v>
      </c>
      <c r="I1007" s="78">
        <f>I1008</f>
        <v>0</v>
      </c>
      <c r="J1007" s="113">
        <f t="shared" si="69"/>
        <v>0</v>
      </c>
      <c r="K1007" s="78">
        <f>K1008</f>
        <v>149</v>
      </c>
      <c r="L1007" s="78">
        <f>L1008</f>
        <v>155</v>
      </c>
    </row>
    <row r="1008" spans="1:12" ht="18" customHeight="1">
      <c r="A1008" s="114" t="s">
        <v>56</v>
      </c>
      <c r="B1008" s="112" t="s">
        <v>442</v>
      </c>
      <c r="C1008" s="129">
        <v>9</v>
      </c>
      <c r="D1008" s="112" t="s">
        <v>153</v>
      </c>
      <c r="E1008" s="142" t="s">
        <v>488</v>
      </c>
      <c r="F1008" s="143">
        <v>200</v>
      </c>
      <c r="G1008" s="142" t="s">
        <v>57</v>
      </c>
      <c r="H1008" s="78">
        <f>'Пр. 11'!I872</f>
        <v>0</v>
      </c>
      <c r="I1008" s="78">
        <f>'Пр. 11'!J872</f>
        <v>0</v>
      </c>
      <c r="J1008" s="113">
        <f t="shared" si="69"/>
        <v>0</v>
      </c>
      <c r="K1008" s="78">
        <f>'Пр. 11'!L872</f>
        <v>149</v>
      </c>
      <c r="L1008" s="78">
        <f>'Пр. 11'!M872</f>
        <v>155</v>
      </c>
    </row>
    <row r="1009" spans="1:12" ht="23.25" customHeight="1" hidden="1">
      <c r="A1009" s="114" t="s">
        <v>759</v>
      </c>
      <c r="B1009" s="112" t="s">
        <v>442</v>
      </c>
      <c r="C1009" s="129">
        <v>9</v>
      </c>
      <c r="D1009" s="112" t="s">
        <v>153</v>
      </c>
      <c r="E1009" s="142" t="s">
        <v>488</v>
      </c>
      <c r="F1009" s="143">
        <v>800</v>
      </c>
      <c r="G1009" s="142"/>
      <c r="H1009" s="78">
        <f>H1010</f>
        <v>0</v>
      </c>
      <c r="I1009" s="78">
        <f>I1010</f>
        <v>0</v>
      </c>
      <c r="J1009" s="113">
        <f t="shared" si="69"/>
        <v>0</v>
      </c>
      <c r="K1009" s="78">
        <f>K1010</f>
        <v>0</v>
      </c>
      <c r="L1009" s="78">
        <f>L1010</f>
        <v>0</v>
      </c>
    </row>
    <row r="1010" spans="1:12" ht="17.25" customHeight="1" hidden="1">
      <c r="A1010" s="114" t="s">
        <v>56</v>
      </c>
      <c r="B1010" s="112" t="s">
        <v>442</v>
      </c>
      <c r="C1010" s="129">
        <v>9</v>
      </c>
      <c r="D1010" s="112" t="s">
        <v>153</v>
      </c>
      <c r="E1010" s="142" t="s">
        <v>488</v>
      </c>
      <c r="F1010" s="143">
        <v>800</v>
      </c>
      <c r="G1010" s="142" t="s">
        <v>57</v>
      </c>
      <c r="H1010" s="78">
        <f>'Пр. 11'!I873</f>
        <v>0</v>
      </c>
      <c r="I1010" s="78">
        <f>'Пр. 11'!J873</f>
        <v>0</v>
      </c>
      <c r="J1010" s="113">
        <f t="shared" si="69"/>
        <v>0</v>
      </c>
      <c r="K1010" s="78">
        <f>'Пр. 11'!L873</f>
        <v>0</v>
      </c>
      <c r="L1010" s="78">
        <f>'Пр. 11'!M873</f>
        <v>0</v>
      </c>
    </row>
    <row r="1011" spans="1:12" ht="38.25" customHeight="1" hidden="1">
      <c r="A1011" s="123" t="s">
        <v>792</v>
      </c>
      <c r="B1011" s="112" t="s">
        <v>442</v>
      </c>
      <c r="C1011" s="112" t="s">
        <v>338</v>
      </c>
      <c r="D1011" s="111" t="s">
        <v>153</v>
      </c>
      <c r="E1011" s="112" t="s">
        <v>791</v>
      </c>
      <c r="F1011" s="143"/>
      <c r="G1011" s="142"/>
      <c r="H1011" s="78">
        <f>H1012</f>
        <v>0</v>
      </c>
      <c r="I1011" s="78">
        <f>I1012</f>
        <v>0</v>
      </c>
      <c r="J1011" s="113">
        <f t="shared" si="69"/>
        <v>0</v>
      </c>
      <c r="K1011" s="78">
        <f>K1012</f>
        <v>0</v>
      </c>
      <c r="L1011" s="78">
        <f>L1012</f>
        <v>0</v>
      </c>
    </row>
    <row r="1012" spans="1:12" ht="32.25" customHeight="1" hidden="1">
      <c r="A1012" s="114" t="s">
        <v>758</v>
      </c>
      <c r="B1012" s="112" t="s">
        <v>442</v>
      </c>
      <c r="C1012" s="112" t="s">
        <v>338</v>
      </c>
      <c r="D1012" s="111" t="s">
        <v>153</v>
      </c>
      <c r="E1012" s="112" t="s">
        <v>791</v>
      </c>
      <c r="F1012" s="143">
        <v>200</v>
      </c>
      <c r="G1012" s="142"/>
      <c r="H1012" s="78">
        <f>H1013</f>
        <v>0</v>
      </c>
      <c r="I1012" s="78">
        <f>I1013</f>
        <v>0</v>
      </c>
      <c r="J1012" s="113">
        <f t="shared" si="69"/>
        <v>0</v>
      </c>
      <c r="K1012" s="78">
        <f>K1013</f>
        <v>0</v>
      </c>
      <c r="L1012" s="78">
        <f>L1013</f>
        <v>0</v>
      </c>
    </row>
    <row r="1013" spans="1:12" ht="24.75" customHeight="1" hidden="1">
      <c r="A1013" s="114" t="s">
        <v>56</v>
      </c>
      <c r="B1013" s="112" t="s">
        <v>442</v>
      </c>
      <c r="C1013" s="112" t="s">
        <v>338</v>
      </c>
      <c r="D1013" s="111" t="s">
        <v>153</v>
      </c>
      <c r="E1013" s="112" t="s">
        <v>791</v>
      </c>
      <c r="F1013" s="143">
        <v>200</v>
      </c>
      <c r="G1013" s="142" t="s">
        <v>57</v>
      </c>
      <c r="H1013" s="78">
        <f>'Пр. 11'!I875</f>
        <v>0</v>
      </c>
      <c r="I1013" s="78">
        <f>'Пр. 11'!J875</f>
        <v>0</v>
      </c>
      <c r="J1013" s="113">
        <f t="shared" si="69"/>
        <v>0</v>
      </c>
      <c r="K1013" s="78">
        <f>'Пр. 11'!L875</f>
        <v>0</v>
      </c>
      <c r="L1013" s="78">
        <f>'Пр. 11'!M875</f>
        <v>0</v>
      </c>
    </row>
    <row r="1014" spans="1:12" ht="65.25" customHeight="1" hidden="1">
      <c r="A1014" s="123" t="s">
        <v>849</v>
      </c>
      <c r="B1014" s="112" t="s">
        <v>442</v>
      </c>
      <c r="C1014" s="112" t="s">
        <v>338</v>
      </c>
      <c r="D1014" s="111" t="s">
        <v>153</v>
      </c>
      <c r="E1014" s="112" t="s">
        <v>852</v>
      </c>
      <c r="F1014" s="143"/>
      <c r="G1014" s="142"/>
      <c r="H1014" s="78">
        <f>H1015</f>
        <v>0</v>
      </c>
      <c r="I1014" s="78">
        <f>I1015</f>
        <v>0</v>
      </c>
      <c r="J1014" s="113">
        <f t="shared" si="69"/>
        <v>0</v>
      </c>
      <c r="K1014" s="78">
        <f>K1015</f>
        <v>0</v>
      </c>
      <c r="L1014" s="78">
        <f>L1015</f>
        <v>0</v>
      </c>
    </row>
    <row r="1015" spans="1:12" ht="18.75" customHeight="1" hidden="1">
      <c r="A1015" s="123" t="s">
        <v>759</v>
      </c>
      <c r="B1015" s="112" t="s">
        <v>442</v>
      </c>
      <c r="C1015" s="112" t="s">
        <v>338</v>
      </c>
      <c r="D1015" s="111" t="s">
        <v>153</v>
      </c>
      <c r="E1015" s="112" t="s">
        <v>852</v>
      </c>
      <c r="F1015" s="143">
        <v>800</v>
      </c>
      <c r="G1015" s="142"/>
      <c r="H1015" s="78">
        <f>H1016</f>
        <v>0</v>
      </c>
      <c r="I1015" s="78">
        <f>I1016</f>
        <v>0</v>
      </c>
      <c r="J1015" s="113">
        <f t="shared" si="69"/>
        <v>0</v>
      </c>
      <c r="K1015" s="78">
        <f>K1016</f>
        <v>0</v>
      </c>
      <c r="L1015" s="78">
        <f>L1016</f>
        <v>0</v>
      </c>
    </row>
    <row r="1016" spans="1:12" ht="21" customHeight="1" hidden="1">
      <c r="A1016" s="114" t="s">
        <v>56</v>
      </c>
      <c r="B1016" s="112" t="s">
        <v>442</v>
      </c>
      <c r="C1016" s="112" t="s">
        <v>338</v>
      </c>
      <c r="D1016" s="111" t="s">
        <v>153</v>
      </c>
      <c r="E1016" s="112" t="s">
        <v>852</v>
      </c>
      <c r="F1016" s="143">
        <v>800</v>
      </c>
      <c r="G1016" s="142" t="s">
        <v>57</v>
      </c>
      <c r="H1016" s="78">
        <f>'Пр. 11'!I877</f>
        <v>0</v>
      </c>
      <c r="I1016" s="78">
        <f>'Пр. 11'!J877</f>
        <v>0</v>
      </c>
      <c r="J1016" s="113">
        <f t="shared" si="69"/>
        <v>0</v>
      </c>
      <c r="K1016" s="78">
        <f>'Пр. 11'!L877</f>
        <v>0</v>
      </c>
      <c r="L1016" s="78">
        <f>'Пр. 11'!M877</f>
        <v>0</v>
      </c>
    </row>
    <row r="1017" spans="1:12" ht="54" customHeight="1" hidden="1">
      <c r="A1017" s="114" t="s">
        <v>696</v>
      </c>
      <c r="B1017" s="112" t="s">
        <v>442</v>
      </c>
      <c r="C1017" s="112" t="s">
        <v>338</v>
      </c>
      <c r="D1017" s="111" t="s">
        <v>153</v>
      </c>
      <c r="E1017" s="112" t="s">
        <v>697</v>
      </c>
      <c r="F1017" s="143"/>
      <c r="G1017" s="142"/>
      <c r="H1017" s="78">
        <f>H1018</f>
        <v>0</v>
      </c>
      <c r="I1017" s="78">
        <f>I1018</f>
        <v>0</v>
      </c>
      <c r="J1017" s="113">
        <f t="shared" si="69"/>
        <v>0</v>
      </c>
      <c r="K1017" s="78">
        <f>K1018</f>
        <v>0</v>
      </c>
      <c r="L1017" s="78">
        <f>L1018</f>
        <v>0</v>
      </c>
    </row>
    <row r="1018" spans="1:12" ht="35.25" customHeight="1" hidden="1">
      <c r="A1018" s="114" t="s">
        <v>758</v>
      </c>
      <c r="B1018" s="112" t="s">
        <v>442</v>
      </c>
      <c r="C1018" s="112" t="s">
        <v>338</v>
      </c>
      <c r="D1018" s="111" t="s">
        <v>153</v>
      </c>
      <c r="E1018" s="112" t="s">
        <v>697</v>
      </c>
      <c r="F1018" s="143">
        <v>200</v>
      </c>
      <c r="G1018" s="142"/>
      <c r="H1018" s="78">
        <f>H1019</f>
        <v>0</v>
      </c>
      <c r="I1018" s="78">
        <f>I1019</f>
        <v>0</v>
      </c>
      <c r="J1018" s="113">
        <f t="shared" si="69"/>
        <v>0</v>
      </c>
      <c r="K1018" s="78">
        <f>K1019</f>
        <v>0</v>
      </c>
      <c r="L1018" s="78">
        <f>L1019</f>
        <v>0</v>
      </c>
    </row>
    <row r="1019" spans="1:12" ht="22.5" customHeight="1" hidden="1">
      <c r="A1019" s="150" t="s">
        <v>78</v>
      </c>
      <c r="B1019" s="112" t="s">
        <v>442</v>
      </c>
      <c r="C1019" s="112" t="s">
        <v>338</v>
      </c>
      <c r="D1019" s="111" t="s">
        <v>153</v>
      </c>
      <c r="E1019" s="112" t="s">
        <v>697</v>
      </c>
      <c r="F1019" s="143">
        <v>200</v>
      </c>
      <c r="G1019" s="142" t="s">
        <v>79</v>
      </c>
      <c r="H1019" s="78">
        <f>'Пр. 11'!I930</f>
        <v>0</v>
      </c>
      <c r="I1019" s="78">
        <f>'Пр. 11'!J930</f>
        <v>0</v>
      </c>
      <c r="J1019" s="113">
        <f t="shared" si="69"/>
        <v>0</v>
      </c>
      <c r="K1019" s="78">
        <f>'Пр. 11'!L930</f>
        <v>0</v>
      </c>
      <c r="L1019" s="78">
        <f>'Пр. 11'!M930</f>
        <v>0</v>
      </c>
    </row>
    <row r="1020" spans="1:12" ht="56.25" customHeight="1">
      <c r="A1020" s="114" t="s">
        <v>698</v>
      </c>
      <c r="B1020" s="112" t="s">
        <v>442</v>
      </c>
      <c r="C1020" s="112" t="s">
        <v>338</v>
      </c>
      <c r="D1020" s="111" t="s">
        <v>153</v>
      </c>
      <c r="E1020" s="112" t="s">
        <v>699</v>
      </c>
      <c r="F1020" s="143"/>
      <c r="G1020" s="142"/>
      <c r="H1020" s="78">
        <f>H1021</f>
        <v>500</v>
      </c>
      <c r="I1020" s="78">
        <f>I1021</f>
        <v>500</v>
      </c>
      <c r="J1020" s="113">
        <f t="shared" si="69"/>
        <v>0</v>
      </c>
      <c r="K1020" s="78">
        <f>K1021</f>
        <v>0</v>
      </c>
      <c r="L1020" s="78">
        <f>L1021</f>
        <v>0</v>
      </c>
    </row>
    <row r="1021" spans="1:12" ht="31.5" customHeight="1">
      <c r="A1021" s="114" t="s">
        <v>758</v>
      </c>
      <c r="B1021" s="112" t="s">
        <v>442</v>
      </c>
      <c r="C1021" s="112" t="s">
        <v>338</v>
      </c>
      <c r="D1021" s="111" t="s">
        <v>153</v>
      </c>
      <c r="E1021" s="112" t="s">
        <v>699</v>
      </c>
      <c r="F1021" s="143">
        <v>200</v>
      </c>
      <c r="G1021" s="142"/>
      <c r="H1021" s="78">
        <f>H1022</f>
        <v>500</v>
      </c>
      <c r="I1021" s="78">
        <f>I1022</f>
        <v>500</v>
      </c>
      <c r="J1021" s="113">
        <f t="shared" si="69"/>
        <v>0</v>
      </c>
      <c r="K1021" s="78">
        <f>K1022</f>
        <v>0</v>
      </c>
      <c r="L1021" s="78">
        <f>L1022</f>
        <v>0</v>
      </c>
    </row>
    <row r="1022" spans="1:12" ht="22.5" customHeight="1">
      <c r="A1022" s="150" t="s">
        <v>80</v>
      </c>
      <c r="B1022" s="112" t="s">
        <v>442</v>
      </c>
      <c r="C1022" s="112" t="s">
        <v>338</v>
      </c>
      <c r="D1022" s="111" t="s">
        <v>153</v>
      </c>
      <c r="E1022" s="112" t="s">
        <v>699</v>
      </c>
      <c r="F1022" s="143">
        <v>200</v>
      </c>
      <c r="G1022" s="142" t="s">
        <v>81</v>
      </c>
      <c r="H1022" s="78">
        <f>'Пр. 11'!I945</f>
        <v>500</v>
      </c>
      <c r="I1022" s="78">
        <f>'Пр. 11'!J945</f>
        <v>500</v>
      </c>
      <c r="J1022" s="113">
        <f t="shared" si="69"/>
        <v>0</v>
      </c>
      <c r="K1022" s="78">
        <f>'Пр. 11'!L945</f>
        <v>0</v>
      </c>
      <c r="L1022" s="78">
        <f>'Пр. 11'!M945</f>
        <v>0</v>
      </c>
    </row>
    <row r="1023" spans="1:12" ht="143.25" customHeight="1">
      <c r="A1023" s="134" t="s">
        <v>675</v>
      </c>
      <c r="B1023" s="112" t="s">
        <v>442</v>
      </c>
      <c r="C1023" s="112" t="s">
        <v>338</v>
      </c>
      <c r="D1023" s="111" t="s">
        <v>153</v>
      </c>
      <c r="E1023" s="112" t="s">
        <v>674</v>
      </c>
      <c r="F1023" s="143"/>
      <c r="G1023" s="142"/>
      <c r="H1023" s="78">
        <f>H1024+H1026</f>
        <v>0</v>
      </c>
      <c r="I1023" s="78">
        <f>I1024+I1026</f>
        <v>1580</v>
      </c>
      <c r="J1023" s="113">
        <f t="shared" si="69"/>
        <v>1580</v>
      </c>
      <c r="K1023" s="78">
        <f>K1024+K1026</f>
        <v>0</v>
      </c>
      <c r="L1023" s="78">
        <f>L1024+L1026</f>
        <v>0</v>
      </c>
    </row>
    <row r="1024" spans="1:12" ht="30.75" customHeight="1" hidden="1">
      <c r="A1024" s="114" t="s">
        <v>758</v>
      </c>
      <c r="B1024" s="112" t="s">
        <v>442</v>
      </c>
      <c r="C1024" s="112" t="s">
        <v>338</v>
      </c>
      <c r="D1024" s="111" t="s">
        <v>153</v>
      </c>
      <c r="E1024" s="112" t="s">
        <v>674</v>
      </c>
      <c r="F1024" s="143">
        <v>200</v>
      </c>
      <c r="G1024" s="142"/>
      <c r="H1024" s="78">
        <f>H1025</f>
        <v>0</v>
      </c>
      <c r="I1024" s="78">
        <f>I1025</f>
        <v>0</v>
      </c>
      <c r="J1024" s="113">
        <f t="shared" si="69"/>
        <v>0</v>
      </c>
      <c r="K1024" s="78">
        <f>K1025</f>
        <v>0</v>
      </c>
      <c r="L1024" s="78">
        <f>L1025</f>
        <v>0</v>
      </c>
    </row>
    <row r="1025" spans="1:12" ht="25.5" customHeight="1" hidden="1">
      <c r="A1025" s="149" t="s">
        <v>68</v>
      </c>
      <c r="B1025" s="112" t="s">
        <v>442</v>
      </c>
      <c r="C1025" s="112" t="s">
        <v>338</v>
      </c>
      <c r="D1025" s="111" t="s">
        <v>153</v>
      </c>
      <c r="E1025" s="112" t="s">
        <v>674</v>
      </c>
      <c r="F1025" s="143">
        <v>200</v>
      </c>
      <c r="G1025" s="142" t="s">
        <v>69</v>
      </c>
      <c r="H1025" s="78">
        <f>'Пр. 11'!I893</f>
        <v>0</v>
      </c>
      <c r="I1025" s="78">
        <f>'Пр. 11'!J893</f>
        <v>0</v>
      </c>
      <c r="J1025" s="113">
        <f t="shared" si="69"/>
        <v>0</v>
      </c>
      <c r="K1025" s="78">
        <f>'Пр. 11'!L893</f>
        <v>0</v>
      </c>
      <c r="L1025" s="78">
        <f>'Пр. 11'!M893</f>
        <v>0</v>
      </c>
    </row>
    <row r="1026" spans="1:12" ht="34.5" customHeight="1">
      <c r="A1026" s="114" t="s">
        <v>771</v>
      </c>
      <c r="B1026" s="112" t="s">
        <v>442</v>
      </c>
      <c r="C1026" s="112" t="s">
        <v>338</v>
      </c>
      <c r="D1026" s="111" t="s">
        <v>153</v>
      </c>
      <c r="E1026" s="112" t="s">
        <v>674</v>
      </c>
      <c r="F1026" s="143">
        <v>400</v>
      </c>
      <c r="G1026" s="142"/>
      <c r="H1026" s="78">
        <f>H1027</f>
        <v>0</v>
      </c>
      <c r="I1026" s="78">
        <f>I1027</f>
        <v>1580</v>
      </c>
      <c r="J1026" s="113">
        <f t="shared" si="69"/>
        <v>1580</v>
      </c>
      <c r="K1026" s="78">
        <f>K1027</f>
        <v>0</v>
      </c>
      <c r="L1026" s="78">
        <f>L1027</f>
        <v>0</v>
      </c>
    </row>
    <row r="1027" spans="1:12" ht="25.5" customHeight="1">
      <c r="A1027" s="73" t="s">
        <v>72</v>
      </c>
      <c r="B1027" s="112" t="s">
        <v>442</v>
      </c>
      <c r="C1027" s="112" t="s">
        <v>338</v>
      </c>
      <c r="D1027" s="111" t="s">
        <v>153</v>
      </c>
      <c r="E1027" s="112" t="s">
        <v>674</v>
      </c>
      <c r="F1027" s="143">
        <v>400</v>
      </c>
      <c r="G1027" s="142" t="s">
        <v>73</v>
      </c>
      <c r="H1027" s="78">
        <f>'Пр. 11'!I921</f>
        <v>0</v>
      </c>
      <c r="I1027" s="78">
        <f>'Пр. 11'!J921</f>
        <v>1580</v>
      </c>
      <c r="J1027" s="113">
        <f t="shared" si="69"/>
        <v>1580</v>
      </c>
      <c r="K1027" s="78">
        <f>'Пр. 11'!L921</f>
        <v>0</v>
      </c>
      <c r="L1027" s="78">
        <f>'Пр. 11'!M921</f>
        <v>0</v>
      </c>
    </row>
    <row r="1028" spans="1:12" ht="24" customHeight="1" hidden="1">
      <c r="A1028" s="114" t="s">
        <v>682</v>
      </c>
      <c r="B1028" s="112" t="s">
        <v>442</v>
      </c>
      <c r="C1028" s="112" t="s">
        <v>338</v>
      </c>
      <c r="D1028" s="111" t="s">
        <v>153</v>
      </c>
      <c r="E1028" s="112" t="s">
        <v>669</v>
      </c>
      <c r="F1028" s="143"/>
      <c r="G1028" s="142"/>
      <c r="H1028" s="78">
        <f>H1029</f>
        <v>0</v>
      </c>
      <c r="I1028" s="78">
        <f>I1029</f>
        <v>0</v>
      </c>
      <c r="J1028" s="113">
        <f t="shared" si="69"/>
        <v>0</v>
      </c>
      <c r="K1028" s="78">
        <f>K1029</f>
        <v>0</v>
      </c>
      <c r="L1028" s="78">
        <f>L1029</f>
        <v>0</v>
      </c>
    </row>
    <row r="1029" spans="1:12" s="4" customFormat="1" ht="29.25" customHeight="1" hidden="1">
      <c r="A1029" s="114" t="s">
        <v>758</v>
      </c>
      <c r="B1029" s="112" t="s">
        <v>442</v>
      </c>
      <c r="C1029" s="112" t="s">
        <v>338</v>
      </c>
      <c r="D1029" s="111" t="s">
        <v>153</v>
      </c>
      <c r="E1029" s="112" t="s">
        <v>669</v>
      </c>
      <c r="F1029" s="143">
        <v>200</v>
      </c>
      <c r="G1029" s="142"/>
      <c r="H1029" s="78">
        <f>H1030</f>
        <v>0</v>
      </c>
      <c r="I1029" s="78">
        <f>I1030</f>
        <v>0</v>
      </c>
      <c r="J1029" s="113">
        <f t="shared" si="69"/>
        <v>0</v>
      </c>
      <c r="K1029" s="131">
        <f>K1030</f>
        <v>0</v>
      </c>
      <c r="L1029" s="131">
        <f>L1030</f>
        <v>0</v>
      </c>
    </row>
    <row r="1030" spans="1:12" s="4" customFormat="1" ht="30" customHeight="1" hidden="1">
      <c r="A1030" s="150" t="s">
        <v>80</v>
      </c>
      <c r="B1030" s="112" t="s">
        <v>442</v>
      </c>
      <c r="C1030" s="112" t="s">
        <v>338</v>
      </c>
      <c r="D1030" s="111" t="s">
        <v>153</v>
      </c>
      <c r="E1030" s="112" t="s">
        <v>669</v>
      </c>
      <c r="F1030" s="143">
        <v>200</v>
      </c>
      <c r="G1030" s="142" t="s">
        <v>81</v>
      </c>
      <c r="H1030" s="78">
        <f>'Пр. 11'!I947</f>
        <v>0</v>
      </c>
      <c r="I1030" s="78">
        <f>'Пр. 11'!J947</f>
        <v>0</v>
      </c>
      <c r="J1030" s="113">
        <f t="shared" si="69"/>
        <v>0</v>
      </c>
      <c r="K1030" s="78">
        <f>'Пр. 11'!L947</f>
        <v>0</v>
      </c>
      <c r="L1030" s="78">
        <f>'Пр. 11'!M947</f>
        <v>0</v>
      </c>
    </row>
    <row r="1031" spans="1:12" s="4" customFormat="1" ht="30.75" customHeight="1" hidden="1">
      <c r="A1031" s="151" t="s">
        <v>704</v>
      </c>
      <c r="B1031" s="111" t="s">
        <v>443</v>
      </c>
      <c r="C1031" s="111" t="s">
        <v>338</v>
      </c>
      <c r="D1031" s="111" t="s">
        <v>153</v>
      </c>
      <c r="E1031" s="111" t="s">
        <v>709</v>
      </c>
      <c r="F1031" s="111"/>
      <c r="G1031" s="112"/>
      <c r="H1031" s="78">
        <f>H1032</f>
        <v>0</v>
      </c>
      <c r="I1031" s="78">
        <f>I1032</f>
        <v>0</v>
      </c>
      <c r="J1031" s="113">
        <f t="shared" si="69"/>
        <v>0</v>
      </c>
      <c r="K1031" s="131">
        <f>K1032</f>
        <v>0</v>
      </c>
      <c r="L1031" s="131">
        <f>L1032</f>
        <v>0</v>
      </c>
    </row>
    <row r="1032" spans="1:12" s="4" customFormat="1" ht="32.25" customHeight="1" hidden="1">
      <c r="A1032" s="115" t="s">
        <v>765</v>
      </c>
      <c r="B1032" s="111" t="s">
        <v>443</v>
      </c>
      <c r="C1032" s="111" t="s">
        <v>338</v>
      </c>
      <c r="D1032" s="111" t="s">
        <v>153</v>
      </c>
      <c r="E1032" s="111" t="s">
        <v>709</v>
      </c>
      <c r="F1032" s="111" t="s">
        <v>766</v>
      </c>
      <c r="G1032" s="112"/>
      <c r="H1032" s="78">
        <f>H1033</f>
        <v>0</v>
      </c>
      <c r="I1032" s="78">
        <f>I1033</f>
        <v>0</v>
      </c>
      <c r="J1032" s="113">
        <f t="shared" si="69"/>
        <v>0</v>
      </c>
      <c r="K1032" s="78">
        <f>K1033</f>
        <v>0</v>
      </c>
      <c r="L1032" s="78">
        <f>L1033</f>
        <v>0</v>
      </c>
    </row>
    <row r="1033" spans="1:12" s="4" customFormat="1" ht="33.75" customHeight="1" hidden="1">
      <c r="A1033" s="22" t="s">
        <v>80</v>
      </c>
      <c r="B1033" s="111" t="s">
        <v>443</v>
      </c>
      <c r="C1033" s="111" t="s">
        <v>338</v>
      </c>
      <c r="D1033" s="111" t="s">
        <v>153</v>
      </c>
      <c r="E1033" s="111" t="s">
        <v>709</v>
      </c>
      <c r="F1033" s="111" t="s">
        <v>766</v>
      </c>
      <c r="G1033" s="112" t="s">
        <v>81</v>
      </c>
      <c r="H1033" s="78">
        <f>'Пр. 11'!I627</f>
        <v>0</v>
      </c>
      <c r="I1033" s="78">
        <f>'Пр. 11'!J627</f>
        <v>0</v>
      </c>
      <c r="J1033" s="113">
        <f t="shared" si="69"/>
        <v>0</v>
      </c>
      <c r="K1033" s="78">
        <f>'Пр. 11'!L627</f>
        <v>0</v>
      </c>
      <c r="L1033" s="78">
        <f>'Пр. 11'!M627</f>
        <v>0</v>
      </c>
    </row>
    <row r="1034" spans="1:12" s="4" customFormat="1" ht="63" customHeight="1">
      <c r="A1034" s="152" t="s">
        <v>688</v>
      </c>
      <c r="B1034" s="107" t="s">
        <v>700</v>
      </c>
      <c r="C1034" s="107" t="s">
        <v>154</v>
      </c>
      <c r="D1034" s="71" t="s">
        <v>155</v>
      </c>
      <c r="E1034" s="107" t="s">
        <v>156</v>
      </c>
      <c r="F1034" s="153"/>
      <c r="G1034" s="107"/>
      <c r="H1034" s="37">
        <f>H1035</f>
        <v>65406.1</v>
      </c>
      <c r="I1034" s="37">
        <f>I1035</f>
        <v>65406.1</v>
      </c>
      <c r="J1034" s="108">
        <f t="shared" si="69"/>
        <v>0</v>
      </c>
      <c r="K1034" s="37">
        <f>K1035</f>
        <v>18092.8</v>
      </c>
      <c r="L1034" s="37">
        <f>L1035</f>
        <v>57212.3</v>
      </c>
    </row>
    <row r="1035" spans="1:12" s="4" customFormat="1" ht="24" customHeight="1">
      <c r="A1035" s="152" t="s">
        <v>689</v>
      </c>
      <c r="B1035" s="107" t="s">
        <v>700</v>
      </c>
      <c r="C1035" s="107" t="s">
        <v>137</v>
      </c>
      <c r="D1035" s="71" t="s">
        <v>155</v>
      </c>
      <c r="E1035" s="107" t="s">
        <v>156</v>
      </c>
      <c r="F1035" s="153"/>
      <c r="G1035" s="107"/>
      <c r="H1035" s="37">
        <f>H1036</f>
        <v>65406.1</v>
      </c>
      <c r="I1035" s="37">
        <f>I1036</f>
        <v>65406.1</v>
      </c>
      <c r="J1035" s="108">
        <f t="shared" si="69"/>
        <v>0</v>
      </c>
      <c r="K1035" s="37">
        <f>K1036</f>
        <v>18092.8</v>
      </c>
      <c r="L1035" s="37">
        <f>L1036</f>
        <v>57212.3</v>
      </c>
    </row>
    <row r="1036" spans="1:12" s="5" customFormat="1" ht="66" customHeight="1">
      <c r="A1036" s="152" t="s">
        <v>690</v>
      </c>
      <c r="B1036" s="107" t="s">
        <v>700</v>
      </c>
      <c r="C1036" s="107" t="s">
        <v>137</v>
      </c>
      <c r="D1036" s="71" t="s">
        <v>153</v>
      </c>
      <c r="E1036" s="107" t="s">
        <v>156</v>
      </c>
      <c r="F1036" s="153"/>
      <c r="G1036" s="107"/>
      <c r="H1036" s="37">
        <f>H1037+H1040</f>
        <v>65406.1</v>
      </c>
      <c r="I1036" s="37">
        <f>I1037+I1040</f>
        <v>65406.1</v>
      </c>
      <c r="J1036" s="108">
        <f t="shared" si="69"/>
        <v>0</v>
      </c>
      <c r="K1036" s="37">
        <f>K1037+K1040</f>
        <v>18092.8</v>
      </c>
      <c r="L1036" s="37">
        <f>L1037+L1040</f>
        <v>57212.3</v>
      </c>
    </row>
    <row r="1037" spans="1:12" s="4" customFormat="1" ht="85.5" customHeight="1">
      <c r="A1037" s="114" t="s">
        <v>693</v>
      </c>
      <c r="B1037" s="112" t="s">
        <v>700</v>
      </c>
      <c r="C1037" s="112" t="s">
        <v>137</v>
      </c>
      <c r="D1037" s="111" t="s">
        <v>153</v>
      </c>
      <c r="E1037" s="112" t="s">
        <v>694</v>
      </c>
      <c r="F1037" s="143"/>
      <c r="G1037" s="112"/>
      <c r="H1037" s="78">
        <f>H1038</f>
        <v>126</v>
      </c>
      <c r="I1037" s="78">
        <f>I1038</f>
        <v>126</v>
      </c>
      <c r="J1037" s="113">
        <f t="shared" si="69"/>
        <v>0</v>
      </c>
      <c r="K1037" s="78">
        <f>K1038</f>
        <v>0</v>
      </c>
      <c r="L1037" s="78">
        <f>L1038</f>
        <v>0</v>
      </c>
    </row>
    <row r="1038" spans="1:12" s="4" customFormat="1" ht="42" customHeight="1">
      <c r="A1038" s="114" t="s">
        <v>771</v>
      </c>
      <c r="B1038" s="112" t="s">
        <v>700</v>
      </c>
      <c r="C1038" s="112" t="s">
        <v>137</v>
      </c>
      <c r="D1038" s="111" t="s">
        <v>153</v>
      </c>
      <c r="E1038" s="112" t="s">
        <v>694</v>
      </c>
      <c r="F1038" s="143">
        <v>400</v>
      </c>
      <c r="G1038" s="112"/>
      <c r="H1038" s="78">
        <f>H1039</f>
        <v>126</v>
      </c>
      <c r="I1038" s="78">
        <f>I1039</f>
        <v>126</v>
      </c>
      <c r="J1038" s="113">
        <f t="shared" si="69"/>
        <v>0</v>
      </c>
      <c r="K1038" s="78">
        <f>K1039</f>
        <v>0</v>
      </c>
      <c r="L1038" s="78">
        <f>L1039</f>
        <v>0</v>
      </c>
    </row>
    <row r="1039" spans="1:12" s="4" customFormat="1" ht="25.5" customHeight="1">
      <c r="A1039" s="150" t="s">
        <v>78</v>
      </c>
      <c r="B1039" s="112" t="s">
        <v>700</v>
      </c>
      <c r="C1039" s="112" t="s">
        <v>137</v>
      </c>
      <c r="D1039" s="111" t="s">
        <v>153</v>
      </c>
      <c r="E1039" s="112" t="s">
        <v>694</v>
      </c>
      <c r="F1039" s="143">
        <v>400</v>
      </c>
      <c r="G1039" s="112" t="s">
        <v>79</v>
      </c>
      <c r="H1039" s="78">
        <f>'Пр. 11'!I937</f>
        <v>126</v>
      </c>
      <c r="I1039" s="78">
        <f>'Пр. 11'!J937</f>
        <v>126</v>
      </c>
      <c r="J1039" s="113">
        <f t="shared" si="69"/>
        <v>0</v>
      </c>
      <c r="K1039" s="78">
        <f>'Пр. 11'!L937</f>
        <v>0</v>
      </c>
      <c r="L1039" s="78">
        <f>'Пр. 11'!M937</f>
        <v>0</v>
      </c>
    </row>
    <row r="1040" spans="1:12" s="4" customFormat="1" ht="51" customHeight="1">
      <c r="A1040" s="154" t="s">
        <v>691</v>
      </c>
      <c r="B1040" s="112" t="s">
        <v>700</v>
      </c>
      <c r="C1040" s="112" t="s">
        <v>137</v>
      </c>
      <c r="D1040" s="111" t="s">
        <v>153</v>
      </c>
      <c r="E1040" s="112" t="s">
        <v>695</v>
      </c>
      <c r="F1040" s="143"/>
      <c r="G1040" s="112"/>
      <c r="H1040" s="78">
        <f>H1041</f>
        <v>65280.1</v>
      </c>
      <c r="I1040" s="78">
        <f>I1041</f>
        <v>65280.1</v>
      </c>
      <c r="J1040" s="113">
        <f t="shared" si="69"/>
        <v>0</v>
      </c>
      <c r="K1040" s="78">
        <f>K1041</f>
        <v>18092.8</v>
      </c>
      <c r="L1040" s="78">
        <f>L1041</f>
        <v>57212.3</v>
      </c>
    </row>
    <row r="1041" spans="1:12" s="4" customFormat="1" ht="35.25" customHeight="1">
      <c r="A1041" s="114" t="s">
        <v>771</v>
      </c>
      <c r="B1041" s="112" t="s">
        <v>700</v>
      </c>
      <c r="C1041" s="112" t="s">
        <v>137</v>
      </c>
      <c r="D1041" s="111" t="s">
        <v>153</v>
      </c>
      <c r="E1041" s="112" t="s">
        <v>695</v>
      </c>
      <c r="F1041" s="143">
        <v>400</v>
      </c>
      <c r="G1041" s="112"/>
      <c r="H1041" s="78">
        <f aca="true" t="shared" si="70" ref="H1041:I1044">H1042</f>
        <v>65280.1</v>
      </c>
      <c r="I1041" s="78">
        <f t="shared" si="70"/>
        <v>65280.1</v>
      </c>
      <c r="J1041" s="113">
        <f t="shared" si="69"/>
        <v>0</v>
      </c>
      <c r="K1041" s="78">
        <f aca="true" t="shared" si="71" ref="K1041:L1044">K1042</f>
        <v>18092.8</v>
      </c>
      <c r="L1041" s="78">
        <f t="shared" si="71"/>
        <v>57212.3</v>
      </c>
    </row>
    <row r="1042" spans="1:12" s="4" customFormat="1" ht="21" customHeight="1">
      <c r="A1042" s="150" t="s">
        <v>78</v>
      </c>
      <c r="B1042" s="112" t="s">
        <v>700</v>
      </c>
      <c r="C1042" s="112" t="s">
        <v>137</v>
      </c>
      <c r="D1042" s="111" t="s">
        <v>153</v>
      </c>
      <c r="E1042" s="112" t="s">
        <v>695</v>
      </c>
      <c r="F1042" s="143">
        <v>400</v>
      </c>
      <c r="G1042" s="112" t="s">
        <v>79</v>
      </c>
      <c r="H1042" s="78">
        <f>'Пр. 11'!I939</f>
        <v>65280.1</v>
      </c>
      <c r="I1042" s="78">
        <f>'Пр. 11'!J939</f>
        <v>65280.1</v>
      </c>
      <c r="J1042" s="113">
        <f t="shared" si="69"/>
        <v>0</v>
      </c>
      <c r="K1042" s="78">
        <f>'Пр. 11'!L939</f>
        <v>18092.8</v>
      </c>
      <c r="L1042" s="78">
        <f>'Пр. 11'!M939</f>
        <v>57212.3</v>
      </c>
    </row>
    <row r="1043" spans="1:12" s="4" customFormat="1" ht="42" customHeight="1">
      <c r="A1043" s="152" t="s">
        <v>679</v>
      </c>
      <c r="B1043" s="107" t="s">
        <v>666</v>
      </c>
      <c r="C1043" s="107" t="s">
        <v>154</v>
      </c>
      <c r="D1043" s="71" t="s">
        <v>155</v>
      </c>
      <c r="E1043" s="107" t="s">
        <v>156</v>
      </c>
      <c r="F1043" s="153"/>
      <c r="G1043" s="107"/>
      <c r="H1043" s="37">
        <f t="shared" si="70"/>
        <v>43537.2</v>
      </c>
      <c r="I1043" s="37">
        <f t="shared" si="70"/>
        <v>63259.7</v>
      </c>
      <c r="J1043" s="108">
        <f t="shared" si="69"/>
        <v>19722.5</v>
      </c>
      <c r="K1043" s="37">
        <f t="shared" si="71"/>
        <v>17451</v>
      </c>
      <c r="L1043" s="37">
        <f t="shared" si="71"/>
        <v>17048</v>
      </c>
    </row>
    <row r="1044" spans="1:12" s="4" customFormat="1" ht="38.25" customHeight="1">
      <c r="A1044" s="152" t="s">
        <v>680</v>
      </c>
      <c r="B1044" s="107" t="s">
        <v>666</v>
      </c>
      <c r="C1044" s="107" t="s">
        <v>136</v>
      </c>
      <c r="D1044" s="71" t="s">
        <v>155</v>
      </c>
      <c r="E1044" s="107" t="s">
        <v>156</v>
      </c>
      <c r="F1044" s="153"/>
      <c r="G1044" s="107"/>
      <c r="H1044" s="37">
        <f t="shared" si="70"/>
        <v>43537.2</v>
      </c>
      <c r="I1044" s="37">
        <f t="shared" si="70"/>
        <v>63259.7</v>
      </c>
      <c r="J1044" s="108">
        <f t="shared" si="69"/>
        <v>19722.5</v>
      </c>
      <c r="K1044" s="37">
        <f t="shared" si="71"/>
        <v>17451</v>
      </c>
      <c r="L1044" s="37">
        <f t="shared" si="71"/>
        <v>17048</v>
      </c>
    </row>
    <row r="1045" spans="1:12" s="5" customFormat="1" ht="64.5" customHeight="1">
      <c r="A1045" s="152" t="s">
        <v>681</v>
      </c>
      <c r="B1045" s="107" t="s">
        <v>666</v>
      </c>
      <c r="C1045" s="107" t="s">
        <v>136</v>
      </c>
      <c r="D1045" s="71" t="s">
        <v>153</v>
      </c>
      <c r="E1045" s="107" t="s">
        <v>156</v>
      </c>
      <c r="F1045" s="153"/>
      <c r="G1045" s="107"/>
      <c r="H1045" s="37">
        <f>H1046+H1049+H1052+H1055+H1058</f>
        <v>43537.2</v>
      </c>
      <c r="I1045" s="37">
        <f>I1046+I1049+I1052+I1055+I1058</f>
        <v>63259.7</v>
      </c>
      <c r="J1045" s="108">
        <f t="shared" si="69"/>
        <v>19722.5</v>
      </c>
      <c r="K1045" s="37">
        <f>K1046+K1049+K1052+K1055+K1058</f>
        <v>17451</v>
      </c>
      <c r="L1045" s="37">
        <f>L1046+L1049+L1052+L1055+L1058</f>
        <v>17048</v>
      </c>
    </row>
    <row r="1046" spans="1:12" s="4" customFormat="1" ht="75" customHeight="1">
      <c r="A1046" s="22" t="s">
        <v>676</v>
      </c>
      <c r="B1046" s="112" t="s">
        <v>666</v>
      </c>
      <c r="C1046" s="112" t="s">
        <v>136</v>
      </c>
      <c r="D1046" s="111" t="s">
        <v>153</v>
      </c>
      <c r="E1046" s="112" t="s">
        <v>667</v>
      </c>
      <c r="F1046" s="143"/>
      <c r="G1046" s="143"/>
      <c r="H1046" s="78">
        <f>H1047</f>
        <v>1390.1</v>
      </c>
      <c r="I1046" s="78">
        <f>I1047</f>
        <v>21090.1</v>
      </c>
      <c r="J1046" s="113">
        <f aca="true" t="shared" si="72" ref="J1046:J1091">I1046-H1046</f>
        <v>19700</v>
      </c>
      <c r="K1046" s="78">
        <f>K1047</f>
        <v>16951</v>
      </c>
      <c r="L1046" s="78">
        <f>L1047</f>
        <v>16548</v>
      </c>
    </row>
    <row r="1047" spans="1:12" s="4" customFormat="1" ht="34.5" customHeight="1">
      <c r="A1047" s="114" t="s">
        <v>758</v>
      </c>
      <c r="B1047" s="112" t="s">
        <v>666</v>
      </c>
      <c r="C1047" s="112" t="s">
        <v>136</v>
      </c>
      <c r="D1047" s="111" t="s">
        <v>153</v>
      </c>
      <c r="E1047" s="112" t="s">
        <v>667</v>
      </c>
      <c r="F1047" s="143">
        <v>200</v>
      </c>
      <c r="G1047" s="143"/>
      <c r="H1047" s="78">
        <f>H1048</f>
        <v>1390.1</v>
      </c>
      <c r="I1047" s="78">
        <f>I1048</f>
        <v>21090.1</v>
      </c>
      <c r="J1047" s="113">
        <f t="shared" si="72"/>
        <v>19700</v>
      </c>
      <c r="K1047" s="78">
        <f>K1048</f>
        <v>16951</v>
      </c>
      <c r="L1047" s="78">
        <f>L1048</f>
        <v>16548</v>
      </c>
    </row>
    <row r="1048" spans="1:12" s="4" customFormat="1" ht="21" customHeight="1">
      <c r="A1048" s="149" t="s">
        <v>68</v>
      </c>
      <c r="B1048" s="112" t="s">
        <v>666</v>
      </c>
      <c r="C1048" s="112" t="s">
        <v>136</v>
      </c>
      <c r="D1048" s="111" t="s">
        <v>153</v>
      </c>
      <c r="E1048" s="112" t="s">
        <v>667</v>
      </c>
      <c r="F1048" s="143">
        <v>200</v>
      </c>
      <c r="G1048" s="142" t="s">
        <v>69</v>
      </c>
      <c r="H1048" s="78">
        <f>'Пр. 11'!I898</f>
        <v>1390.1</v>
      </c>
      <c r="I1048" s="78">
        <f>'Пр. 11'!J898</f>
        <v>21090.1</v>
      </c>
      <c r="J1048" s="113">
        <f t="shared" si="72"/>
        <v>19700</v>
      </c>
      <c r="K1048" s="78">
        <f>'Пр. 11'!L898</f>
        <v>16951</v>
      </c>
      <c r="L1048" s="78">
        <f>'Пр. 11'!M898</f>
        <v>16548</v>
      </c>
    </row>
    <row r="1049" spans="1:12" s="4" customFormat="1" ht="81.75" customHeight="1">
      <c r="A1049" s="134" t="s">
        <v>677</v>
      </c>
      <c r="B1049" s="112" t="s">
        <v>666</v>
      </c>
      <c r="C1049" s="112" t="s">
        <v>136</v>
      </c>
      <c r="D1049" s="111" t="s">
        <v>153</v>
      </c>
      <c r="E1049" s="112" t="s">
        <v>668</v>
      </c>
      <c r="F1049" s="143"/>
      <c r="G1049" s="112"/>
      <c r="H1049" s="78">
        <f>H1050</f>
        <v>14522.3</v>
      </c>
      <c r="I1049" s="78">
        <f>I1050</f>
        <v>14522.3</v>
      </c>
      <c r="J1049" s="113">
        <f t="shared" si="72"/>
        <v>0</v>
      </c>
      <c r="K1049" s="78">
        <f>K1050</f>
        <v>0</v>
      </c>
      <c r="L1049" s="78">
        <f>L1050</f>
        <v>0</v>
      </c>
    </row>
    <row r="1050" spans="1:12" s="4" customFormat="1" ht="33" customHeight="1">
      <c r="A1050" s="114" t="s">
        <v>758</v>
      </c>
      <c r="B1050" s="112" t="s">
        <v>666</v>
      </c>
      <c r="C1050" s="112" t="s">
        <v>136</v>
      </c>
      <c r="D1050" s="111" t="s">
        <v>153</v>
      </c>
      <c r="E1050" s="112" t="s">
        <v>668</v>
      </c>
      <c r="F1050" s="143">
        <v>200</v>
      </c>
      <c r="G1050" s="112"/>
      <c r="H1050" s="78">
        <f>H1051</f>
        <v>14522.3</v>
      </c>
      <c r="I1050" s="78">
        <f>I1051</f>
        <v>14522.3</v>
      </c>
      <c r="J1050" s="113">
        <f t="shared" si="72"/>
        <v>0</v>
      </c>
      <c r="K1050" s="78">
        <f>K1051</f>
        <v>0</v>
      </c>
      <c r="L1050" s="78">
        <f>L1051</f>
        <v>0</v>
      </c>
    </row>
    <row r="1051" spans="1:12" s="4" customFormat="1" ht="24" customHeight="1">
      <c r="A1051" s="149" t="s">
        <v>68</v>
      </c>
      <c r="B1051" s="112" t="s">
        <v>666</v>
      </c>
      <c r="C1051" s="112" t="s">
        <v>136</v>
      </c>
      <c r="D1051" s="111" t="s">
        <v>153</v>
      </c>
      <c r="E1051" s="112" t="s">
        <v>668</v>
      </c>
      <c r="F1051" s="143">
        <v>200</v>
      </c>
      <c r="G1051" s="112" t="s">
        <v>69</v>
      </c>
      <c r="H1051" s="78">
        <f>'Пр. 11'!I900</f>
        <v>14522.3</v>
      </c>
      <c r="I1051" s="78">
        <f>'Пр. 11'!J900</f>
        <v>14522.3</v>
      </c>
      <c r="J1051" s="113">
        <f t="shared" si="72"/>
        <v>0</v>
      </c>
      <c r="K1051" s="78">
        <f>'Пр. 11'!L900</f>
        <v>0</v>
      </c>
      <c r="L1051" s="78">
        <f>'Пр. 11'!M900</f>
        <v>0</v>
      </c>
    </row>
    <row r="1052" spans="1:12" s="4" customFormat="1" ht="111" customHeight="1">
      <c r="A1052" s="134" t="s">
        <v>682</v>
      </c>
      <c r="B1052" s="112" t="s">
        <v>666</v>
      </c>
      <c r="C1052" s="112" t="s">
        <v>136</v>
      </c>
      <c r="D1052" s="111" t="s">
        <v>153</v>
      </c>
      <c r="E1052" s="112" t="s">
        <v>669</v>
      </c>
      <c r="F1052" s="143"/>
      <c r="G1052" s="112"/>
      <c r="H1052" s="78">
        <f>H1053</f>
        <v>500</v>
      </c>
      <c r="I1052" s="78">
        <f>I1053</f>
        <v>500</v>
      </c>
      <c r="J1052" s="113">
        <f t="shared" si="72"/>
        <v>0</v>
      </c>
      <c r="K1052" s="78">
        <f>K1053</f>
        <v>500</v>
      </c>
      <c r="L1052" s="78">
        <f>L1053</f>
        <v>500</v>
      </c>
    </row>
    <row r="1053" spans="1:12" s="4" customFormat="1" ht="36" customHeight="1">
      <c r="A1053" s="114" t="s">
        <v>758</v>
      </c>
      <c r="B1053" s="112" t="s">
        <v>666</v>
      </c>
      <c r="C1053" s="112" t="s">
        <v>136</v>
      </c>
      <c r="D1053" s="111" t="s">
        <v>153</v>
      </c>
      <c r="E1053" s="112" t="s">
        <v>669</v>
      </c>
      <c r="F1053" s="143">
        <v>200</v>
      </c>
      <c r="G1053" s="112"/>
      <c r="H1053" s="78">
        <f>H1054</f>
        <v>500</v>
      </c>
      <c r="I1053" s="78">
        <f>I1054</f>
        <v>500</v>
      </c>
      <c r="J1053" s="113">
        <f t="shared" si="72"/>
        <v>0</v>
      </c>
      <c r="K1053" s="78">
        <f>K1054</f>
        <v>500</v>
      </c>
      <c r="L1053" s="78">
        <f>L1054</f>
        <v>500</v>
      </c>
    </row>
    <row r="1054" spans="1:12" s="4" customFormat="1" ht="18.75" customHeight="1">
      <c r="A1054" s="149" t="s">
        <v>68</v>
      </c>
      <c r="B1054" s="112" t="s">
        <v>666</v>
      </c>
      <c r="C1054" s="112" t="s">
        <v>136</v>
      </c>
      <c r="D1054" s="111" t="s">
        <v>153</v>
      </c>
      <c r="E1054" s="112" t="s">
        <v>669</v>
      </c>
      <c r="F1054" s="143">
        <v>200</v>
      </c>
      <c r="G1054" s="112" t="s">
        <v>69</v>
      </c>
      <c r="H1054" s="78">
        <f>'Пр. 11'!I902</f>
        <v>500</v>
      </c>
      <c r="I1054" s="78">
        <f>'Пр. 11'!J902</f>
        <v>500</v>
      </c>
      <c r="J1054" s="113">
        <f t="shared" si="72"/>
        <v>0</v>
      </c>
      <c r="K1054" s="78">
        <f>'Пр. 11'!L902</f>
        <v>500</v>
      </c>
      <c r="L1054" s="78">
        <f>'Пр. 11'!M902</f>
        <v>500</v>
      </c>
    </row>
    <row r="1055" spans="1:12" s="4" customFormat="1" ht="39" customHeight="1">
      <c r="A1055" s="154" t="s">
        <v>678</v>
      </c>
      <c r="B1055" s="112" t="s">
        <v>666</v>
      </c>
      <c r="C1055" s="112" t="s">
        <v>136</v>
      </c>
      <c r="D1055" s="111" t="s">
        <v>153</v>
      </c>
      <c r="E1055" s="112" t="s">
        <v>670</v>
      </c>
      <c r="F1055" s="143"/>
      <c r="G1055" s="112"/>
      <c r="H1055" s="78">
        <f>H1056</f>
        <v>3769</v>
      </c>
      <c r="I1055" s="78">
        <f>I1056</f>
        <v>3791.5</v>
      </c>
      <c r="J1055" s="113">
        <f t="shared" si="72"/>
        <v>22.5</v>
      </c>
      <c r="K1055" s="78">
        <f>K1056</f>
        <v>0</v>
      </c>
      <c r="L1055" s="78">
        <f>L1056</f>
        <v>0</v>
      </c>
    </row>
    <row r="1056" spans="1:12" s="4" customFormat="1" ht="34.5" customHeight="1">
      <c r="A1056" s="114" t="s">
        <v>758</v>
      </c>
      <c r="B1056" s="112" t="s">
        <v>666</v>
      </c>
      <c r="C1056" s="112" t="s">
        <v>136</v>
      </c>
      <c r="D1056" s="111" t="s">
        <v>153</v>
      </c>
      <c r="E1056" s="112" t="s">
        <v>670</v>
      </c>
      <c r="F1056" s="143">
        <v>200</v>
      </c>
      <c r="G1056" s="112"/>
      <c r="H1056" s="78">
        <f>H1057</f>
        <v>3769</v>
      </c>
      <c r="I1056" s="78">
        <f>I1057</f>
        <v>3791.5</v>
      </c>
      <c r="J1056" s="113">
        <f t="shared" si="72"/>
        <v>22.5</v>
      </c>
      <c r="K1056" s="78">
        <f>K1057</f>
        <v>0</v>
      </c>
      <c r="L1056" s="78">
        <f>L1057</f>
        <v>0</v>
      </c>
    </row>
    <row r="1057" spans="1:12" s="4" customFormat="1" ht="21" customHeight="1">
      <c r="A1057" s="149" t="s">
        <v>68</v>
      </c>
      <c r="B1057" s="112" t="s">
        <v>666</v>
      </c>
      <c r="C1057" s="112" t="s">
        <v>136</v>
      </c>
      <c r="D1057" s="111" t="s">
        <v>153</v>
      </c>
      <c r="E1057" s="112" t="s">
        <v>670</v>
      </c>
      <c r="F1057" s="143">
        <v>200</v>
      </c>
      <c r="G1057" s="112" t="s">
        <v>69</v>
      </c>
      <c r="H1057" s="78">
        <f>'Пр. 11'!I904</f>
        <v>3769</v>
      </c>
      <c r="I1057" s="78">
        <f>'Пр. 11'!J904</f>
        <v>3791.5</v>
      </c>
      <c r="J1057" s="113">
        <f t="shared" si="72"/>
        <v>22.5</v>
      </c>
      <c r="K1057" s="78">
        <f>'Пр. 11'!L904</f>
        <v>0</v>
      </c>
      <c r="L1057" s="78">
        <f>'Пр. 11'!M904</f>
        <v>0</v>
      </c>
    </row>
    <row r="1058" spans="1:12" s="4" customFormat="1" ht="53.25" customHeight="1">
      <c r="A1058" s="114" t="s">
        <v>854</v>
      </c>
      <c r="B1058" s="112" t="s">
        <v>666</v>
      </c>
      <c r="C1058" s="112" t="s">
        <v>136</v>
      </c>
      <c r="D1058" s="111" t="s">
        <v>153</v>
      </c>
      <c r="E1058" s="112" t="s">
        <v>856</v>
      </c>
      <c r="F1058" s="143"/>
      <c r="G1058" s="112"/>
      <c r="H1058" s="78">
        <f aca="true" t="shared" si="73" ref="H1058:L1059">H1059</f>
        <v>23355.8</v>
      </c>
      <c r="I1058" s="78">
        <f t="shared" si="73"/>
        <v>23355.8</v>
      </c>
      <c r="J1058" s="113">
        <f t="shared" si="72"/>
        <v>0</v>
      </c>
      <c r="K1058" s="78">
        <f t="shared" si="73"/>
        <v>0</v>
      </c>
      <c r="L1058" s="78">
        <f t="shared" si="73"/>
        <v>0</v>
      </c>
    </row>
    <row r="1059" spans="1:12" s="4" customFormat="1" ht="35.25" customHeight="1">
      <c r="A1059" s="114" t="s">
        <v>758</v>
      </c>
      <c r="B1059" s="112" t="s">
        <v>666</v>
      </c>
      <c r="C1059" s="112" t="s">
        <v>136</v>
      </c>
      <c r="D1059" s="111" t="s">
        <v>153</v>
      </c>
      <c r="E1059" s="112" t="s">
        <v>856</v>
      </c>
      <c r="F1059" s="143">
        <v>200</v>
      </c>
      <c r="G1059" s="112"/>
      <c r="H1059" s="78">
        <f t="shared" si="73"/>
        <v>23355.8</v>
      </c>
      <c r="I1059" s="78">
        <f t="shared" si="73"/>
        <v>23355.8</v>
      </c>
      <c r="J1059" s="113">
        <f t="shared" si="72"/>
        <v>0</v>
      </c>
      <c r="K1059" s="78">
        <f t="shared" si="73"/>
        <v>0</v>
      </c>
      <c r="L1059" s="78">
        <f t="shared" si="73"/>
        <v>0</v>
      </c>
    </row>
    <row r="1060" spans="1:12" s="4" customFormat="1" ht="21" customHeight="1">
      <c r="A1060" s="149" t="s">
        <v>68</v>
      </c>
      <c r="B1060" s="112" t="s">
        <v>666</v>
      </c>
      <c r="C1060" s="112" t="s">
        <v>136</v>
      </c>
      <c r="D1060" s="111" t="s">
        <v>153</v>
      </c>
      <c r="E1060" s="112" t="s">
        <v>856</v>
      </c>
      <c r="F1060" s="143">
        <v>200</v>
      </c>
      <c r="G1060" s="112" t="s">
        <v>69</v>
      </c>
      <c r="H1060" s="78">
        <f>'Пр. 11'!I906</f>
        <v>23355.8</v>
      </c>
      <c r="I1060" s="78">
        <f>'Пр. 11'!J906</f>
        <v>23355.8</v>
      </c>
      <c r="J1060" s="113">
        <f t="shared" si="72"/>
        <v>0</v>
      </c>
      <c r="K1060" s="78">
        <f>'Пр. 11'!L906</f>
        <v>0</v>
      </c>
      <c r="L1060" s="78">
        <f>'Пр. 11'!M906</f>
        <v>0</v>
      </c>
    </row>
    <row r="1061" spans="1:12" s="4" customFormat="1" ht="34.5" customHeight="1">
      <c r="A1061" s="155" t="s">
        <v>793</v>
      </c>
      <c r="B1061" s="156" t="s">
        <v>799</v>
      </c>
      <c r="C1061" s="157" t="s">
        <v>154</v>
      </c>
      <c r="D1061" s="157" t="s">
        <v>155</v>
      </c>
      <c r="E1061" s="158" t="s">
        <v>156</v>
      </c>
      <c r="F1061" s="71"/>
      <c r="G1061" s="112"/>
      <c r="H1061" s="37">
        <f>H1062+H1067</f>
        <v>11705.9</v>
      </c>
      <c r="I1061" s="37">
        <f>I1062+I1067</f>
        <v>11705.9</v>
      </c>
      <c r="J1061" s="113">
        <f t="shared" si="72"/>
        <v>0</v>
      </c>
      <c r="K1061" s="37">
        <f>K1062+K1067</f>
        <v>12174.199999999999</v>
      </c>
      <c r="L1061" s="37">
        <f>L1062+L1067</f>
        <v>12661.1</v>
      </c>
    </row>
    <row r="1062" spans="1:12" s="4" customFormat="1" ht="33.75" customHeight="1">
      <c r="A1062" s="155" t="s">
        <v>794</v>
      </c>
      <c r="B1062" s="156" t="s">
        <v>799</v>
      </c>
      <c r="C1062" s="157" t="s">
        <v>137</v>
      </c>
      <c r="D1062" s="157" t="s">
        <v>155</v>
      </c>
      <c r="E1062" s="158" t="s">
        <v>156</v>
      </c>
      <c r="F1062" s="71"/>
      <c r="G1062" s="112"/>
      <c r="H1062" s="37">
        <f aca="true" t="shared" si="74" ref="H1062:L1065">H1063</f>
        <v>3572</v>
      </c>
      <c r="I1062" s="37">
        <f t="shared" si="74"/>
        <v>3572</v>
      </c>
      <c r="J1062" s="108">
        <f t="shared" si="72"/>
        <v>0</v>
      </c>
      <c r="K1062" s="37">
        <f t="shared" si="74"/>
        <v>3714.9</v>
      </c>
      <c r="L1062" s="37">
        <f t="shared" si="74"/>
        <v>3863.5</v>
      </c>
    </row>
    <row r="1063" spans="1:12" s="5" customFormat="1" ht="27" customHeight="1">
      <c r="A1063" s="155" t="s">
        <v>195</v>
      </c>
      <c r="B1063" s="156" t="s">
        <v>799</v>
      </c>
      <c r="C1063" s="157" t="s">
        <v>137</v>
      </c>
      <c r="D1063" s="157" t="s">
        <v>153</v>
      </c>
      <c r="E1063" s="158" t="s">
        <v>156</v>
      </c>
      <c r="F1063" s="71"/>
      <c r="G1063" s="107"/>
      <c r="H1063" s="37">
        <f t="shared" si="74"/>
        <v>3572</v>
      </c>
      <c r="I1063" s="37">
        <f t="shared" si="74"/>
        <v>3572</v>
      </c>
      <c r="J1063" s="108">
        <f t="shared" si="72"/>
        <v>0</v>
      </c>
      <c r="K1063" s="37">
        <f t="shared" si="74"/>
        <v>3714.9</v>
      </c>
      <c r="L1063" s="37">
        <f t="shared" si="74"/>
        <v>3863.5</v>
      </c>
    </row>
    <row r="1064" spans="1:12" s="4" customFormat="1" ht="68.25" customHeight="1">
      <c r="A1064" s="114" t="s">
        <v>795</v>
      </c>
      <c r="B1064" s="159" t="s">
        <v>799</v>
      </c>
      <c r="C1064" s="160" t="s">
        <v>137</v>
      </c>
      <c r="D1064" s="160" t="s">
        <v>153</v>
      </c>
      <c r="E1064" s="161" t="s">
        <v>798</v>
      </c>
      <c r="F1064" s="71"/>
      <c r="G1064" s="112"/>
      <c r="H1064" s="78">
        <f t="shared" si="74"/>
        <v>3572</v>
      </c>
      <c r="I1064" s="78">
        <f t="shared" si="74"/>
        <v>3572</v>
      </c>
      <c r="J1064" s="113">
        <f t="shared" si="72"/>
        <v>0</v>
      </c>
      <c r="K1064" s="78">
        <f t="shared" si="74"/>
        <v>3714.9</v>
      </c>
      <c r="L1064" s="78">
        <f t="shared" si="74"/>
        <v>3863.5</v>
      </c>
    </row>
    <row r="1065" spans="1:12" s="4" customFormat="1" ht="65.25" customHeight="1">
      <c r="A1065" s="123" t="s">
        <v>755</v>
      </c>
      <c r="B1065" s="159" t="s">
        <v>799</v>
      </c>
      <c r="C1065" s="160" t="s">
        <v>137</v>
      </c>
      <c r="D1065" s="160" t="s">
        <v>153</v>
      </c>
      <c r="E1065" s="161" t="s">
        <v>798</v>
      </c>
      <c r="F1065" s="111" t="s">
        <v>756</v>
      </c>
      <c r="G1065" s="112"/>
      <c r="H1065" s="78">
        <f t="shared" si="74"/>
        <v>3572</v>
      </c>
      <c r="I1065" s="78">
        <f t="shared" si="74"/>
        <v>3572</v>
      </c>
      <c r="J1065" s="113">
        <f t="shared" si="72"/>
        <v>0</v>
      </c>
      <c r="K1065" s="78">
        <f t="shared" si="74"/>
        <v>3714.9</v>
      </c>
      <c r="L1065" s="78">
        <f t="shared" si="74"/>
        <v>3863.5</v>
      </c>
    </row>
    <row r="1066" spans="1:12" s="4" customFormat="1" ht="25.5" customHeight="1">
      <c r="A1066" s="73" t="s">
        <v>56</v>
      </c>
      <c r="B1066" s="159" t="s">
        <v>799</v>
      </c>
      <c r="C1066" s="160" t="s">
        <v>137</v>
      </c>
      <c r="D1066" s="160" t="s">
        <v>153</v>
      </c>
      <c r="E1066" s="161" t="s">
        <v>798</v>
      </c>
      <c r="F1066" s="111" t="s">
        <v>756</v>
      </c>
      <c r="G1066" s="112" t="s">
        <v>57</v>
      </c>
      <c r="H1066" s="78">
        <f>'Пр. 11'!I748</f>
        <v>3572</v>
      </c>
      <c r="I1066" s="78">
        <f>'Пр. 11'!J748</f>
        <v>3572</v>
      </c>
      <c r="J1066" s="113">
        <f t="shared" si="72"/>
        <v>0</v>
      </c>
      <c r="K1066" s="78">
        <f>'Пр. 11'!L748</f>
        <v>3714.9</v>
      </c>
      <c r="L1066" s="78">
        <f>'Пр. 11'!M748</f>
        <v>3863.5</v>
      </c>
    </row>
    <row r="1067" spans="1:12" s="4" customFormat="1" ht="48.75" customHeight="1">
      <c r="A1067" s="155" t="s">
        <v>796</v>
      </c>
      <c r="B1067" s="156" t="s">
        <v>799</v>
      </c>
      <c r="C1067" s="157" t="s">
        <v>140</v>
      </c>
      <c r="D1067" s="157" t="s">
        <v>155</v>
      </c>
      <c r="E1067" s="158" t="s">
        <v>156</v>
      </c>
      <c r="F1067" s="71"/>
      <c r="G1067" s="112"/>
      <c r="H1067" s="37">
        <f>H1068</f>
        <v>8133.9</v>
      </c>
      <c r="I1067" s="37">
        <f>I1068</f>
        <v>8133.9</v>
      </c>
      <c r="J1067" s="108">
        <f t="shared" si="72"/>
        <v>0</v>
      </c>
      <c r="K1067" s="37">
        <f>K1068</f>
        <v>8459.3</v>
      </c>
      <c r="L1067" s="37">
        <f>L1068</f>
        <v>8797.6</v>
      </c>
    </row>
    <row r="1068" spans="1:12" s="4" customFormat="1" ht="39.75" customHeight="1">
      <c r="A1068" s="155" t="s">
        <v>797</v>
      </c>
      <c r="B1068" s="156" t="s">
        <v>799</v>
      </c>
      <c r="C1068" s="157" t="s">
        <v>140</v>
      </c>
      <c r="D1068" s="157" t="s">
        <v>153</v>
      </c>
      <c r="E1068" s="158" t="s">
        <v>156</v>
      </c>
      <c r="F1068" s="71"/>
      <c r="G1068" s="112"/>
      <c r="H1068" s="37">
        <f aca="true" t="shared" si="75" ref="H1068:L1070">H1069</f>
        <v>8133.9</v>
      </c>
      <c r="I1068" s="37">
        <f t="shared" si="75"/>
        <v>8133.9</v>
      </c>
      <c r="J1068" s="108">
        <f t="shared" si="72"/>
        <v>0</v>
      </c>
      <c r="K1068" s="37">
        <f t="shared" si="75"/>
        <v>8459.3</v>
      </c>
      <c r="L1068" s="37">
        <f t="shared" si="75"/>
        <v>8797.6</v>
      </c>
    </row>
    <row r="1069" spans="1:12" s="4" customFormat="1" ht="70.5" customHeight="1">
      <c r="A1069" s="114" t="s">
        <v>795</v>
      </c>
      <c r="B1069" s="159" t="s">
        <v>799</v>
      </c>
      <c r="C1069" s="160" t="s">
        <v>140</v>
      </c>
      <c r="D1069" s="160" t="s">
        <v>153</v>
      </c>
      <c r="E1069" s="161" t="s">
        <v>798</v>
      </c>
      <c r="F1069" s="71"/>
      <c r="G1069" s="112"/>
      <c r="H1069" s="78">
        <f t="shared" si="75"/>
        <v>8133.9</v>
      </c>
      <c r="I1069" s="78">
        <f t="shared" si="75"/>
        <v>8133.9</v>
      </c>
      <c r="J1069" s="113">
        <f t="shared" si="72"/>
        <v>0</v>
      </c>
      <c r="K1069" s="78">
        <f t="shared" si="75"/>
        <v>8459.3</v>
      </c>
      <c r="L1069" s="78">
        <f t="shared" si="75"/>
        <v>8797.6</v>
      </c>
    </row>
    <row r="1070" spans="1:12" s="4" customFormat="1" ht="66" customHeight="1">
      <c r="A1070" s="123" t="s">
        <v>755</v>
      </c>
      <c r="B1070" s="159" t="s">
        <v>799</v>
      </c>
      <c r="C1070" s="160" t="s">
        <v>140</v>
      </c>
      <c r="D1070" s="160" t="s">
        <v>153</v>
      </c>
      <c r="E1070" s="161" t="s">
        <v>798</v>
      </c>
      <c r="F1070" s="111" t="s">
        <v>756</v>
      </c>
      <c r="G1070" s="112"/>
      <c r="H1070" s="78">
        <f t="shared" si="75"/>
        <v>8133.9</v>
      </c>
      <c r="I1070" s="78">
        <f t="shared" si="75"/>
        <v>8133.9</v>
      </c>
      <c r="J1070" s="113">
        <f t="shared" si="72"/>
        <v>0</v>
      </c>
      <c r="K1070" s="78">
        <f t="shared" si="75"/>
        <v>8459.3</v>
      </c>
      <c r="L1070" s="78">
        <f t="shared" si="75"/>
        <v>8797.6</v>
      </c>
    </row>
    <row r="1071" spans="1:12" s="4" customFormat="1" ht="21" customHeight="1">
      <c r="A1071" s="73" t="s">
        <v>56</v>
      </c>
      <c r="B1071" s="159" t="s">
        <v>799</v>
      </c>
      <c r="C1071" s="160" t="s">
        <v>140</v>
      </c>
      <c r="D1071" s="160" t="s">
        <v>153</v>
      </c>
      <c r="E1071" s="161" t="s">
        <v>798</v>
      </c>
      <c r="F1071" s="111" t="s">
        <v>756</v>
      </c>
      <c r="G1071" s="112" t="s">
        <v>57</v>
      </c>
      <c r="H1071" s="78">
        <f>'Пр. 11'!I752</f>
        <v>8133.9</v>
      </c>
      <c r="I1071" s="78">
        <f>'Пр. 11'!J752</f>
        <v>8133.9</v>
      </c>
      <c r="J1071" s="113">
        <f t="shared" si="72"/>
        <v>0</v>
      </c>
      <c r="K1071" s="78">
        <f>'Пр. 11'!L752</f>
        <v>8459.3</v>
      </c>
      <c r="L1071" s="78">
        <f>'Пр. 11'!M752</f>
        <v>8797.6</v>
      </c>
    </row>
    <row r="1072" spans="1:12" s="4" customFormat="1" ht="33" customHeight="1">
      <c r="A1072" s="152" t="s">
        <v>683</v>
      </c>
      <c r="B1072" s="107" t="s">
        <v>671</v>
      </c>
      <c r="C1072" s="107" t="s">
        <v>154</v>
      </c>
      <c r="D1072" s="71" t="s">
        <v>155</v>
      </c>
      <c r="E1072" s="107" t="s">
        <v>156</v>
      </c>
      <c r="F1072" s="153"/>
      <c r="G1072" s="107"/>
      <c r="H1072" s="37">
        <f>H1073+H1078</f>
        <v>3522.9</v>
      </c>
      <c r="I1072" s="37">
        <f>I1073+I1078</f>
        <v>3522.9</v>
      </c>
      <c r="J1072" s="113">
        <f t="shared" si="72"/>
        <v>0</v>
      </c>
      <c r="K1072" s="37">
        <f>K1073+K1078</f>
        <v>1785.2</v>
      </c>
      <c r="L1072" s="37">
        <f>L1073+L1078</f>
        <v>1851.1</v>
      </c>
    </row>
    <row r="1073" spans="1:12" s="4" customFormat="1" ht="34.5" customHeight="1">
      <c r="A1073" s="155" t="s">
        <v>800</v>
      </c>
      <c r="B1073" s="156" t="s">
        <v>671</v>
      </c>
      <c r="C1073" s="157" t="s">
        <v>136</v>
      </c>
      <c r="D1073" s="157" t="s">
        <v>155</v>
      </c>
      <c r="E1073" s="158" t="s">
        <v>156</v>
      </c>
      <c r="F1073" s="71"/>
      <c r="G1073" s="112"/>
      <c r="H1073" s="37">
        <f aca="true" t="shared" si="76" ref="H1073:I1076">H1074</f>
        <v>1722.9</v>
      </c>
      <c r="I1073" s="37">
        <f t="shared" si="76"/>
        <v>1722.9</v>
      </c>
      <c r="J1073" s="108">
        <f t="shared" si="72"/>
        <v>0</v>
      </c>
      <c r="K1073" s="37">
        <f aca="true" t="shared" si="77" ref="K1073:L1076">K1074</f>
        <v>1785.2</v>
      </c>
      <c r="L1073" s="37">
        <f t="shared" si="77"/>
        <v>1851.1</v>
      </c>
    </row>
    <row r="1074" spans="1:12" s="5" customFormat="1" ht="48.75" customHeight="1">
      <c r="A1074" s="109" t="s">
        <v>801</v>
      </c>
      <c r="B1074" s="156" t="s">
        <v>671</v>
      </c>
      <c r="C1074" s="157" t="s">
        <v>136</v>
      </c>
      <c r="D1074" s="157" t="s">
        <v>153</v>
      </c>
      <c r="E1074" s="158" t="s">
        <v>156</v>
      </c>
      <c r="F1074" s="71"/>
      <c r="G1074" s="107"/>
      <c r="H1074" s="37">
        <f t="shared" si="76"/>
        <v>1722.9</v>
      </c>
      <c r="I1074" s="37">
        <f t="shared" si="76"/>
        <v>1722.9</v>
      </c>
      <c r="J1074" s="108">
        <f t="shared" si="72"/>
        <v>0</v>
      </c>
      <c r="K1074" s="37">
        <f t="shared" si="77"/>
        <v>1785.2</v>
      </c>
      <c r="L1074" s="37">
        <f t="shared" si="77"/>
        <v>1851.1</v>
      </c>
    </row>
    <row r="1075" spans="1:12" s="4" customFormat="1" ht="71.25" customHeight="1">
      <c r="A1075" s="162" t="s">
        <v>802</v>
      </c>
      <c r="B1075" s="159" t="s">
        <v>671</v>
      </c>
      <c r="C1075" s="160" t="s">
        <v>136</v>
      </c>
      <c r="D1075" s="160" t="s">
        <v>153</v>
      </c>
      <c r="E1075" s="161" t="s">
        <v>803</v>
      </c>
      <c r="F1075" s="111"/>
      <c r="G1075" s="112"/>
      <c r="H1075" s="78">
        <f t="shared" si="76"/>
        <v>1722.9</v>
      </c>
      <c r="I1075" s="78">
        <f t="shared" si="76"/>
        <v>1722.9</v>
      </c>
      <c r="J1075" s="113">
        <f t="shared" si="72"/>
        <v>0</v>
      </c>
      <c r="K1075" s="78">
        <f t="shared" si="77"/>
        <v>1785.2</v>
      </c>
      <c r="L1075" s="78">
        <f t="shared" si="77"/>
        <v>1851.1</v>
      </c>
    </row>
    <row r="1076" spans="1:12" s="4" customFormat="1" ht="66.75" customHeight="1">
      <c r="A1076" s="123" t="s">
        <v>755</v>
      </c>
      <c r="B1076" s="159" t="s">
        <v>671</v>
      </c>
      <c r="C1076" s="160" t="s">
        <v>136</v>
      </c>
      <c r="D1076" s="160" t="s">
        <v>153</v>
      </c>
      <c r="E1076" s="161" t="s">
        <v>803</v>
      </c>
      <c r="F1076" s="111" t="s">
        <v>756</v>
      </c>
      <c r="G1076" s="112"/>
      <c r="H1076" s="78">
        <f t="shared" si="76"/>
        <v>1722.9</v>
      </c>
      <c r="I1076" s="78">
        <f t="shared" si="76"/>
        <v>1722.9</v>
      </c>
      <c r="J1076" s="113">
        <f t="shared" si="72"/>
        <v>0</v>
      </c>
      <c r="K1076" s="78">
        <f t="shared" si="77"/>
        <v>1785.2</v>
      </c>
      <c r="L1076" s="78">
        <f t="shared" si="77"/>
        <v>1851.1</v>
      </c>
    </row>
    <row r="1077" spans="1:12" s="4" customFormat="1" ht="18.75" customHeight="1">
      <c r="A1077" s="73" t="s">
        <v>56</v>
      </c>
      <c r="B1077" s="159" t="s">
        <v>671</v>
      </c>
      <c r="C1077" s="160" t="s">
        <v>136</v>
      </c>
      <c r="D1077" s="160" t="s">
        <v>153</v>
      </c>
      <c r="E1077" s="161" t="s">
        <v>803</v>
      </c>
      <c r="F1077" s="111" t="s">
        <v>756</v>
      </c>
      <c r="G1077" s="112" t="s">
        <v>57</v>
      </c>
      <c r="H1077" s="78">
        <f>'Пр. 11'!I757</f>
        <v>1722.9</v>
      </c>
      <c r="I1077" s="78">
        <f>'Пр. 11'!J757</f>
        <v>1722.9</v>
      </c>
      <c r="J1077" s="113">
        <f t="shared" si="72"/>
        <v>0</v>
      </c>
      <c r="K1077" s="78">
        <f>'Пр. 11'!L757</f>
        <v>1785.2</v>
      </c>
      <c r="L1077" s="78">
        <f>'Пр. 11'!M757</f>
        <v>1851.1</v>
      </c>
    </row>
    <row r="1078" spans="1:12" s="4" customFormat="1" ht="40.5" customHeight="1">
      <c r="A1078" s="152" t="s">
        <v>684</v>
      </c>
      <c r="B1078" s="107" t="s">
        <v>671</v>
      </c>
      <c r="C1078" s="107" t="s">
        <v>139</v>
      </c>
      <c r="D1078" s="71" t="s">
        <v>155</v>
      </c>
      <c r="E1078" s="107" t="s">
        <v>156</v>
      </c>
      <c r="F1078" s="153"/>
      <c r="G1078" s="107"/>
      <c r="H1078" s="37">
        <f>H1079</f>
        <v>1800</v>
      </c>
      <c r="I1078" s="37">
        <f>I1079</f>
        <v>1800</v>
      </c>
      <c r="J1078" s="108">
        <f t="shared" si="72"/>
        <v>0</v>
      </c>
      <c r="K1078" s="37">
        <f>K1079</f>
        <v>0</v>
      </c>
      <c r="L1078" s="37">
        <f>L1079</f>
        <v>0</v>
      </c>
    </row>
    <row r="1079" spans="1:12" s="5" customFormat="1" ht="33.75" customHeight="1">
      <c r="A1079" s="109" t="s">
        <v>379</v>
      </c>
      <c r="B1079" s="107" t="s">
        <v>671</v>
      </c>
      <c r="C1079" s="107" t="s">
        <v>139</v>
      </c>
      <c r="D1079" s="71" t="s">
        <v>153</v>
      </c>
      <c r="E1079" s="107" t="s">
        <v>156</v>
      </c>
      <c r="F1079" s="153"/>
      <c r="G1079" s="107"/>
      <c r="H1079" s="37">
        <f>H1080+H1083+H1086</f>
        <v>1800</v>
      </c>
      <c r="I1079" s="37">
        <f>I1080+I1083+I1086</f>
        <v>1800</v>
      </c>
      <c r="J1079" s="108">
        <f t="shared" si="72"/>
        <v>0</v>
      </c>
      <c r="K1079" s="37">
        <f>K1080+K1083+K1086</f>
        <v>0</v>
      </c>
      <c r="L1079" s="37">
        <f>L1080+L1083+L1086</f>
        <v>0</v>
      </c>
    </row>
    <row r="1080" spans="1:12" s="4" customFormat="1" ht="42" customHeight="1" hidden="1">
      <c r="A1080" s="119" t="s">
        <v>687</v>
      </c>
      <c r="B1080" s="112" t="s">
        <v>671</v>
      </c>
      <c r="C1080" s="112" t="s">
        <v>139</v>
      </c>
      <c r="D1080" s="111" t="s">
        <v>153</v>
      </c>
      <c r="E1080" s="112" t="s">
        <v>686</v>
      </c>
      <c r="F1080" s="153"/>
      <c r="G1080" s="112"/>
      <c r="H1080" s="78">
        <f>H1081</f>
        <v>0</v>
      </c>
      <c r="I1080" s="78">
        <f>I1081</f>
        <v>0</v>
      </c>
      <c r="J1080" s="113">
        <f t="shared" si="72"/>
        <v>0</v>
      </c>
      <c r="K1080" s="78">
        <f>K1081</f>
        <v>0</v>
      </c>
      <c r="L1080" s="78">
        <f>L1081</f>
        <v>0</v>
      </c>
    </row>
    <row r="1081" spans="1:12" s="4" customFormat="1" ht="20.25" customHeight="1" hidden="1">
      <c r="A1081" s="114" t="s">
        <v>758</v>
      </c>
      <c r="B1081" s="112" t="s">
        <v>671</v>
      </c>
      <c r="C1081" s="112" t="s">
        <v>139</v>
      </c>
      <c r="D1081" s="111" t="s">
        <v>153</v>
      </c>
      <c r="E1081" s="112" t="s">
        <v>686</v>
      </c>
      <c r="F1081" s="143">
        <v>200</v>
      </c>
      <c r="G1081" s="112"/>
      <c r="H1081" s="78">
        <f>H1082</f>
        <v>0</v>
      </c>
      <c r="I1081" s="78">
        <f>I1082</f>
        <v>0</v>
      </c>
      <c r="J1081" s="113">
        <f t="shared" si="72"/>
        <v>0</v>
      </c>
      <c r="K1081" s="78">
        <f>K1082</f>
        <v>0</v>
      </c>
      <c r="L1081" s="78">
        <f>L1082</f>
        <v>0</v>
      </c>
    </row>
    <row r="1082" spans="1:12" s="4" customFormat="1" ht="30.75" customHeight="1" hidden="1">
      <c r="A1082" s="149" t="s">
        <v>68</v>
      </c>
      <c r="B1082" s="112" t="s">
        <v>671</v>
      </c>
      <c r="C1082" s="112" t="s">
        <v>139</v>
      </c>
      <c r="D1082" s="111" t="s">
        <v>153</v>
      </c>
      <c r="E1082" s="112" t="s">
        <v>686</v>
      </c>
      <c r="F1082" s="143">
        <v>200</v>
      </c>
      <c r="G1082" s="112" t="s">
        <v>69</v>
      </c>
      <c r="H1082" s="78">
        <f>'Пр. 11'!I911</f>
        <v>0</v>
      </c>
      <c r="I1082" s="78">
        <f>'Пр. 11'!J911</f>
        <v>0</v>
      </c>
      <c r="J1082" s="113">
        <f t="shared" si="72"/>
        <v>0</v>
      </c>
      <c r="K1082" s="78">
        <f>'Пр. 11'!L911</f>
        <v>0</v>
      </c>
      <c r="L1082" s="78">
        <f>'Пр. 11'!M911</f>
        <v>0</v>
      </c>
    </row>
    <row r="1083" spans="1:12" s="4" customFormat="1" ht="30.75" customHeight="1" hidden="1">
      <c r="A1083" s="22" t="s">
        <v>788</v>
      </c>
      <c r="B1083" s="112" t="s">
        <v>671</v>
      </c>
      <c r="C1083" s="112" t="s">
        <v>139</v>
      </c>
      <c r="D1083" s="111" t="s">
        <v>153</v>
      </c>
      <c r="E1083" s="112" t="s">
        <v>672</v>
      </c>
      <c r="F1083" s="143"/>
      <c r="G1083" s="112"/>
      <c r="H1083" s="78">
        <f>H1084</f>
        <v>0</v>
      </c>
      <c r="I1083" s="78">
        <f>I1084</f>
        <v>0</v>
      </c>
      <c r="J1083" s="113">
        <f t="shared" si="72"/>
        <v>0</v>
      </c>
      <c r="K1083" s="78">
        <f>K1084</f>
        <v>0</v>
      </c>
      <c r="L1083" s="78">
        <f>L1084</f>
        <v>0</v>
      </c>
    </row>
    <row r="1084" spans="1:12" ht="27" customHeight="1" hidden="1">
      <c r="A1084" s="114" t="s">
        <v>758</v>
      </c>
      <c r="B1084" s="112" t="s">
        <v>671</v>
      </c>
      <c r="C1084" s="112" t="s">
        <v>139</v>
      </c>
      <c r="D1084" s="111" t="s">
        <v>153</v>
      </c>
      <c r="E1084" s="112" t="s">
        <v>672</v>
      </c>
      <c r="F1084" s="143">
        <v>200</v>
      </c>
      <c r="G1084" s="112"/>
      <c r="H1084" s="78">
        <f>H1085</f>
        <v>0</v>
      </c>
      <c r="I1084" s="78">
        <f>I1085</f>
        <v>0</v>
      </c>
      <c r="J1084" s="113">
        <f t="shared" si="72"/>
        <v>0</v>
      </c>
      <c r="K1084" s="78">
        <f>K1085</f>
        <v>0</v>
      </c>
      <c r="L1084" s="78">
        <f>L1085</f>
        <v>0</v>
      </c>
    </row>
    <row r="1085" spans="1:12" ht="36" customHeight="1" hidden="1">
      <c r="A1085" s="149" t="s">
        <v>68</v>
      </c>
      <c r="B1085" s="112" t="s">
        <v>671</v>
      </c>
      <c r="C1085" s="112" t="s">
        <v>139</v>
      </c>
      <c r="D1085" s="111" t="s">
        <v>153</v>
      </c>
      <c r="E1085" s="112" t="s">
        <v>672</v>
      </c>
      <c r="F1085" s="143">
        <v>200</v>
      </c>
      <c r="G1085" s="112" t="s">
        <v>69</v>
      </c>
      <c r="H1085" s="131">
        <f>'Пр. 11'!I913</f>
        <v>0</v>
      </c>
      <c r="I1085" s="131">
        <f>'Пр. 11'!J913</f>
        <v>0</v>
      </c>
      <c r="J1085" s="113">
        <f t="shared" si="72"/>
        <v>0</v>
      </c>
      <c r="K1085" s="131">
        <f>'Пр. 11'!L913</f>
        <v>0</v>
      </c>
      <c r="L1085" s="131">
        <f>'Пр. 11'!M913</f>
        <v>0</v>
      </c>
    </row>
    <row r="1086" spans="1:12" ht="74.25" customHeight="1">
      <c r="A1086" s="22" t="s">
        <v>685</v>
      </c>
      <c r="B1086" s="112" t="s">
        <v>671</v>
      </c>
      <c r="C1086" s="112" t="s">
        <v>139</v>
      </c>
      <c r="D1086" s="111" t="s">
        <v>153</v>
      </c>
      <c r="E1086" s="112" t="s">
        <v>673</v>
      </c>
      <c r="F1086" s="143"/>
      <c r="G1086" s="112"/>
      <c r="H1086" s="131">
        <f>H1087</f>
        <v>1800</v>
      </c>
      <c r="I1086" s="131">
        <f>I1087</f>
        <v>1800</v>
      </c>
      <c r="J1086" s="113">
        <f t="shared" si="72"/>
        <v>0</v>
      </c>
      <c r="K1086" s="131">
        <f>K1087</f>
        <v>0</v>
      </c>
      <c r="L1086" s="131">
        <f>L1087</f>
        <v>0</v>
      </c>
    </row>
    <row r="1087" spans="1:12" ht="33" customHeight="1">
      <c r="A1087" s="114" t="s">
        <v>758</v>
      </c>
      <c r="B1087" s="112" t="s">
        <v>671</v>
      </c>
      <c r="C1087" s="112" t="s">
        <v>139</v>
      </c>
      <c r="D1087" s="111" t="s">
        <v>153</v>
      </c>
      <c r="E1087" s="112" t="s">
        <v>673</v>
      </c>
      <c r="F1087" s="143">
        <v>200</v>
      </c>
      <c r="G1087" s="112"/>
      <c r="H1087" s="131">
        <f>H1088</f>
        <v>1800</v>
      </c>
      <c r="I1087" s="131">
        <f>I1088</f>
        <v>1800</v>
      </c>
      <c r="J1087" s="113">
        <f t="shared" si="72"/>
        <v>0</v>
      </c>
      <c r="K1087" s="131">
        <f>K1088</f>
        <v>0</v>
      </c>
      <c r="L1087" s="131">
        <f>L1088</f>
        <v>0</v>
      </c>
    </row>
    <row r="1088" spans="1:12" ht="22.5" customHeight="1">
      <c r="A1088" s="149" t="s">
        <v>68</v>
      </c>
      <c r="B1088" s="112" t="s">
        <v>671</v>
      </c>
      <c r="C1088" s="112" t="s">
        <v>139</v>
      </c>
      <c r="D1088" s="111" t="s">
        <v>153</v>
      </c>
      <c r="E1088" s="112" t="s">
        <v>673</v>
      </c>
      <c r="F1088" s="143">
        <v>200</v>
      </c>
      <c r="G1088" s="112" t="s">
        <v>69</v>
      </c>
      <c r="H1088" s="131">
        <f>'Пр. 11'!I915</f>
        <v>1800</v>
      </c>
      <c r="I1088" s="131">
        <f>'Пр. 11'!J915</f>
        <v>1800</v>
      </c>
      <c r="J1088" s="113">
        <f t="shared" si="72"/>
        <v>0</v>
      </c>
      <c r="K1088" s="131">
        <f>'Пр. 11'!L915</f>
        <v>0</v>
      </c>
      <c r="L1088" s="131">
        <f>'Пр. 11'!M915</f>
        <v>0</v>
      </c>
    </row>
    <row r="1089" spans="1:12" ht="21" customHeight="1">
      <c r="A1089" s="474" t="s">
        <v>1102</v>
      </c>
      <c r="B1089" s="475"/>
      <c r="C1089" s="475"/>
      <c r="D1089" s="475"/>
      <c r="E1089" s="475"/>
      <c r="F1089" s="475"/>
      <c r="G1089" s="476"/>
      <c r="H1089" s="133">
        <f>H19+H78+H115+H137+H211+H242+H463+H499+H551+H586+H613+H661+H698+H799+H1034+H1043+H1061+H1072</f>
        <v>2746451</v>
      </c>
      <c r="I1089" s="133">
        <f>I19+I78+I115+I137+I211+I242+I463+I499+I551+I586+I613+I661+I698+I799+I1034+I1043+I1061+I1072</f>
        <v>2795282.0999999996</v>
      </c>
      <c r="J1089" s="108">
        <f t="shared" si="72"/>
        <v>48831.09999999963</v>
      </c>
      <c r="K1089" s="133">
        <f>K19+K78+K115+K137+K211+K242+K463+K499+K551+K586+K613+K661+K698+K799+K1034+K1043+K1061+K1072</f>
        <v>2589617.9000000004</v>
      </c>
      <c r="L1089" s="133">
        <f>L19+L78+L115+L137+L211+L242+L463+L499+L551+L586+L613+L661+L698+L799+L1034+L1043+L1061+L1072</f>
        <v>2908299.499999999</v>
      </c>
    </row>
    <row r="1090" spans="1:12" ht="21.75" customHeight="1">
      <c r="A1090" s="477" t="s">
        <v>1100</v>
      </c>
      <c r="B1090" s="478"/>
      <c r="C1090" s="478"/>
      <c r="D1090" s="478"/>
      <c r="E1090" s="478"/>
      <c r="F1090" s="478"/>
      <c r="G1090" s="479"/>
      <c r="H1090" s="131"/>
      <c r="I1090" s="131"/>
      <c r="J1090" s="113">
        <f t="shared" si="72"/>
        <v>0</v>
      </c>
      <c r="K1090" s="131">
        <f>'Пр. 11'!L1195</f>
        <v>23500</v>
      </c>
      <c r="L1090" s="131">
        <f>'Пр. 11'!M1195</f>
        <v>48500</v>
      </c>
    </row>
    <row r="1091" spans="1:12" ht="21.75" customHeight="1">
      <c r="A1091" s="480" t="s">
        <v>1101</v>
      </c>
      <c r="B1091" s="478"/>
      <c r="C1091" s="478"/>
      <c r="D1091" s="478"/>
      <c r="E1091" s="478"/>
      <c r="F1091" s="478"/>
      <c r="G1091" s="479"/>
      <c r="H1091" s="133">
        <f>'Пр. 11'!I1196</f>
        <v>2746450.9999999995</v>
      </c>
      <c r="I1091" s="133">
        <f>'Пр. 11'!J1196</f>
        <v>2795282.1</v>
      </c>
      <c r="J1091" s="108">
        <f t="shared" si="72"/>
        <v>48831.10000000056</v>
      </c>
      <c r="K1091" s="133">
        <f>'Пр. 11'!L1196</f>
        <v>2614637.5999999996</v>
      </c>
      <c r="L1091" s="133">
        <f>'Пр. 11'!M1196</f>
        <v>2958319.1999999997</v>
      </c>
    </row>
  </sheetData>
  <sheetProtection/>
  <mergeCells count="8">
    <mergeCell ref="A1089:G1089"/>
    <mergeCell ref="A1090:G1090"/>
    <mergeCell ref="A1091:G1091"/>
    <mergeCell ref="B17:E17"/>
    <mergeCell ref="F1:G1"/>
    <mergeCell ref="E4:G4"/>
    <mergeCell ref="F5:G5"/>
    <mergeCell ref="A14:L14"/>
  </mergeCells>
  <printOptions/>
  <pageMargins left="0.7086614173228347" right="0" top="0.5118110236220472" bottom="0.35433070866141736" header="0.31496062992125984" footer="0.31496062992125984"/>
  <pageSetup fitToHeight="38" horizontalDpi="600" verticalDpi="600" orientation="portrait" paperSize="9" scale="65" r:id="rId1"/>
  <headerFooter differentFirst="1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196"/>
  <sheetViews>
    <sheetView zoomScale="110" zoomScaleNormal="110" zoomScalePageLayoutView="0" workbookViewId="0" topLeftCell="A1">
      <selection activeCell="M4" sqref="M4"/>
    </sheetView>
  </sheetViews>
  <sheetFormatPr defaultColWidth="8.8515625" defaultRowHeight="15" outlineLevelCol="1"/>
  <cols>
    <col min="1" max="1" width="67.28125" style="337" customWidth="1"/>
    <col min="2" max="2" width="5.00390625" style="338" customWidth="1"/>
    <col min="3" max="3" width="6.8515625" style="194" customWidth="1"/>
    <col min="4" max="4" width="3.8515625" style="339" customWidth="1"/>
    <col min="5" max="5" width="3.00390625" style="339" customWidth="1"/>
    <col min="6" max="6" width="4.00390625" style="339" customWidth="1"/>
    <col min="7" max="7" width="6.8515625" style="339" customWidth="1"/>
    <col min="8" max="8" width="5.421875" style="194" customWidth="1"/>
    <col min="9" max="9" width="11.8515625" style="340" hidden="1" customWidth="1" outlineLevel="1"/>
    <col min="10" max="10" width="11.140625" style="327" customWidth="1" collapsed="1"/>
    <col min="11" max="11" width="9.28125" style="258" hidden="1" customWidth="1" outlineLevel="1"/>
    <col min="12" max="12" width="10.8515625" style="327" customWidth="1" collapsed="1"/>
    <col min="13" max="13" width="10.7109375" style="327" customWidth="1"/>
    <col min="14" max="16384" width="8.8515625" style="327" customWidth="1"/>
  </cols>
  <sheetData>
    <row r="1" spans="12:13" ht="15">
      <c r="L1" s="258"/>
      <c r="M1" s="258" t="s">
        <v>0</v>
      </c>
    </row>
    <row r="2" spans="8:13" ht="15">
      <c r="H2" s="339"/>
      <c r="I2" s="259"/>
      <c r="J2" s="259"/>
      <c r="L2" s="259"/>
      <c r="M2" s="259" t="s">
        <v>1</v>
      </c>
    </row>
    <row r="3" spans="2:13" ht="15">
      <c r="B3" s="341"/>
      <c r="I3" s="259"/>
      <c r="J3" s="259"/>
      <c r="L3" s="259"/>
      <c r="M3" s="259" t="s">
        <v>2</v>
      </c>
    </row>
    <row r="4" spans="2:13" ht="15">
      <c r="B4" s="342"/>
      <c r="I4" s="259"/>
      <c r="J4" s="259"/>
      <c r="L4" s="259"/>
      <c r="M4" s="259" t="s">
        <v>1259</v>
      </c>
    </row>
    <row r="5" ht="15">
      <c r="M5" s="258" t="s">
        <v>986</v>
      </c>
    </row>
    <row r="8" spans="1:13" s="194" customFormat="1" ht="35.25" customHeight="1">
      <c r="A8" s="487" t="s">
        <v>884</v>
      </c>
      <c r="B8" s="487"/>
      <c r="C8" s="487"/>
      <c r="D8" s="487"/>
      <c r="E8" s="487"/>
      <c r="F8" s="487"/>
      <c r="G8" s="487"/>
      <c r="H8" s="487"/>
      <c r="I8" s="487"/>
      <c r="J8" s="487"/>
      <c r="K8" s="487"/>
      <c r="L8" s="487"/>
      <c r="M8" s="487"/>
    </row>
    <row r="10" ht="15">
      <c r="M10" s="327" t="s">
        <v>839</v>
      </c>
    </row>
    <row r="11" spans="1:13" s="192" customFormat="1" ht="61.5" customHeight="1">
      <c r="A11" s="107" t="s">
        <v>135</v>
      </c>
      <c r="B11" s="343" t="s">
        <v>506</v>
      </c>
      <c r="C11" s="107" t="s">
        <v>152</v>
      </c>
      <c r="D11" s="488" t="s">
        <v>23</v>
      </c>
      <c r="E11" s="489"/>
      <c r="F11" s="489"/>
      <c r="G11" s="490"/>
      <c r="H11" s="71" t="s">
        <v>151</v>
      </c>
      <c r="I11" s="37" t="s">
        <v>881</v>
      </c>
      <c r="J11" s="37" t="s">
        <v>879</v>
      </c>
      <c r="K11" s="105" t="s">
        <v>808</v>
      </c>
      <c r="L11" s="37" t="s">
        <v>743</v>
      </c>
      <c r="M11" s="37" t="s">
        <v>878</v>
      </c>
    </row>
    <row r="12" spans="1:13" s="192" customFormat="1" ht="10.5" customHeight="1">
      <c r="A12" s="107"/>
      <c r="B12" s="343"/>
      <c r="C12" s="107"/>
      <c r="D12" s="388"/>
      <c r="E12" s="423"/>
      <c r="F12" s="423"/>
      <c r="G12" s="424"/>
      <c r="H12" s="71"/>
      <c r="I12" s="37"/>
      <c r="J12" s="37"/>
      <c r="K12" s="105"/>
      <c r="L12" s="37"/>
      <c r="M12" s="37"/>
    </row>
    <row r="13" spans="1:13" s="345" customFormat="1" ht="36" customHeight="1">
      <c r="A13" s="139" t="s">
        <v>138</v>
      </c>
      <c r="B13" s="343" t="s">
        <v>24</v>
      </c>
      <c r="C13" s="107"/>
      <c r="D13" s="71"/>
      <c r="E13" s="71"/>
      <c r="F13" s="71"/>
      <c r="G13" s="71"/>
      <c r="H13" s="71"/>
      <c r="I13" s="37">
        <f>I14+I137+I165+I262+I291+I360+I465+I397</f>
        <v>401378</v>
      </c>
      <c r="J13" s="37">
        <f>J14+J137+J165+J262+J291+J360+J465+J397</f>
        <v>408635</v>
      </c>
      <c r="K13" s="344">
        <f>J13-I13</f>
        <v>7257</v>
      </c>
      <c r="L13" s="37">
        <f>L14+L137+L165+L262+L291+L360+L465+L397</f>
        <v>355605.1</v>
      </c>
      <c r="M13" s="37">
        <f>M14+M137+M165+M262+M291+M360+M465+M397</f>
        <v>361552.9</v>
      </c>
    </row>
    <row r="14" spans="1:13" s="345" customFormat="1" ht="21.75" customHeight="1">
      <c r="A14" s="139" t="s">
        <v>42</v>
      </c>
      <c r="B14" s="343" t="s">
        <v>24</v>
      </c>
      <c r="C14" s="107" t="s">
        <v>43</v>
      </c>
      <c r="D14" s="71"/>
      <c r="E14" s="71"/>
      <c r="F14" s="71"/>
      <c r="G14" s="71"/>
      <c r="H14" s="71"/>
      <c r="I14" s="37">
        <f>I15+I68+I74</f>
        <v>123414.1</v>
      </c>
      <c r="J14" s="37">
        <f>J15+J68+J74</f>
        <v>123464.50000000001</v>
      </c>
      <c r="K14" s="344">
        <f aca="true" t="shared" si="0" ref="K14:K79">J14-I14</f>
        <v>50.40000000000873</v>
      </c>
      <c r="L14" s="37">
        <f>L15+L68+L74</f>
        <v>116558.69999999998</v>
      </c>
      <c r="M14" s="37">
        <f>M15+M68+M74</f>
        <v>115342.6</v>
      </c>
    </row>
    <row r="15" spans="1:13" s="345" customFormat="1" ht="42.75" customHeight="1">
      <c r="A15" s="139" t="s">
        <v>174</v>
      </c>
      <c r="B15" s="343" t="s">
        <v>24</v>
      </c>
      <c r="C15" s="107" t="s">
        <v>49</v>
      </c>
      <c r="D15" s="71"/>
      <c r="E15" s="71"/>
      <c r="F15" s="71"/>
      <c r="G15" s="71"/>
      <c r="H15" s="71"/>
      <c r="I15" s="37">
        <f>I16+I21+I27+I32+I41</f>
        <v>110832.00000000001</v>
      </c>
      <c r="J15" s="37">
        <f>J16+J21+J27+J32+J41</f>
        <v>110832.00000000001</v>
      </c>
      <c r="K15" s="344">
        <f t="shared" si="0"/>
        <v>0</v>
      </c>
      <c r="L15" s="37">
        <f>L16+L21+L27+L32+L41</f>
        <v>103978.49999999999</v>
      </c>
      <c r="M15" s="37">
        <f>M16+M21+M27+M32+M41</f>
        <v>103899.5</v>
      </c>
    </row>
    <row r="16" spans="1:15" s="345" customFormat="1" ht="42" customHeight="1">
      <c r="A16" s="139" t="s">
        <v>165</v>
      </c>
      <c r="B16" s="343" t="s">
        <v>24</v>
      </c>
      <c r="C16" s="107" t="s">
        <v>49</v>
      </c>
      <c r="D16" s="71" t="s">
        <v>166</v>
      </c>
      <c r="E16" s="71" t="s">
        <v>154</v>
      </c>
      <c r="F16" s="71" t="s">
        <v>155</v>
      </c>
      <c r="G16" s="71" t="s">
        <v>156</v>
      </c>
      <c r="H16" s="71"/>
      <c r="I16" s="37">
        <f aca="true" t="shared" si="1" ref="I16:M17">I17</f>
        <v>353</v>
      </c>
      <c r="J16" s="37">
        <f t="shared" si="1"/>
        <v>353</v>
      </c>
      <c r="K16" s="344">
        <f t="shared" si="0"/>
        <v>0</v>
      </c>
      <c r="L16" s="37">
        <f t="shared" si="1"/>
        <v>353</v>
      </c>
      <c r="M16" s="37">
        <f t="shared" si="1"/>
        <v>353</v>
      </c>
      <c r="N16" s="346"/>
      <c r="O16" s="346"/>
    </row>
    <row r="17" spans="1:15" s="345" customFormat="1" ht="21.75" customHeight="1">
      <c r="A17" s="136" t="s">
        <v>890</v>
      </c>
      <c r="B17" s="343" t="s">
        <v>24</v>
      </c>
      <c r="C17" s="107" t="s">
        <v>49</v>
      </c>
      <c r="D17" s="71" t="s">
        <v>166</v>
      </c>
      <c r="E17" s="71" t="s">
        <v>154</v>
      </c>
      <c r="F17" s="71" t="s">
        <v>166</v>
      </c>
      <c r="G17" s="71" t="s">
        <v>156</v>
      </c>
      <c r="H17" s="71"/>
      <c r="I17" s="37">
        <f t="shared" si="1"/>
        <v>353</v>
      </c>
      <c r="J17" s="37">
        <f t="shared" si="1"/>
        <v>353</v>
      </c>
      <c r="K17" s="344">
        <f t="shared" si="0"/>
        <v>0</v>
      </c>
      <c r="L17" s="37">
        <f t="shared" si="1"/>
        <v>353</v>
      </c>
      <c r="M17" s="37">
        <f t="shared" si="1"/>
        <v>353</v>
      </c>
      <c r="N17" s="346"/>
      <c r="O17" s="346"/>
    </row>
    <row r="18" spans="1:15" s="346" customFormat="1" ht="21" customHeight="1">
      <c r="A18" s="124" t="s">
        <v>172</v>
      </c>
      <c r="B18" s="347" t="s">
        <v>24</v>
      </c>
      <c r="C18" s="112" t="s">
        <v>49</v>
      </c>
      <c r="D18" s="111" t="s">
        <v>166</v>
      </c>
      <c r="E18" s="111" t="s">
        <v>154</v>
      </c>
      <c r="F18" s="111" t="s">
        <v>166</v>
      </c>
      <c r="G18" s="111" t="s">
        <v>173</v>
      </c>
      <c r="H18" s="111"/>
      <c r="I18" s="78">
        <f>I19+I20</f>
        <v>353</v>
      </c>
      <c r="J18" s="78">
        <f>J19+J20</f>
        <v>353</v>
      </c>
      <c r="K18" s="348">
        <f t="shared" si="0"/>
        <v>0</v>
      </c>
      <c r="L18" s="78">
        <f>L19+L20</f>
        <v>353</v>
      </c>
      <c r="M18" s="78">
        <f>M19+M20</f>
        <v>353</v>
      </c>
      <c r="N18" s="349"/>
      <c r="O18" s="349"/>
    </row>
    <row r="19" spans="1:14" s="345" customFormat="1" ht="60.75" customHeight="1">
      <c r="A19" s="121" t="s">
        <v>755</v>
      </c>
      <c r="B19" s="347" t="s">
        <v>24</v>
      </c>
      <c r="C19" s="112" t="s">
        <v>49</v>
      </c>
      <c r="D19" s="111" t="s">
        <v>166</v>
      </c>
      <c r="E19" s="111" t="s">
        <v>154</v>
      </c>
      <c r="F19" s="111" t="s">
        <v>166</v>
      </c>
      <c r="G19" s="111" t="s">
        <v>173</v>
      </c>
      <c r="H19" s="111" t="s">
        <v>756</v>
      </c>
      <c r="I19" s="78">
        <v>341</v>
      </c>
      <c r="J19" s="78">
        <v>341</v>
      </c>
      <c r="K19" s="348">
        <f t="shared" si="0"/>
        <v>0</v>
      </c>
      <c r="L19" s="78">
        <v>341</v>
      </c>
      <c r="M19" s="78">
        <v>341</v>
      </c>
      <c r="N19" s="349"/>
    </row>
    <row r="20" spans="1:15" s="345" customFormat="1" ht="30.75" customHeight="1">
      <c r="A20" s="121" t="s">
        <v>758</v>
      </c>
      <c r="B20" s="347" t="s">
        <v>24</v>
      </c>
      <c r="C20" s="112" t="s">
        <v>49</v>
      </c>
      <c r="D20" s="111" t="s">
        <v>166</v>
      </c>
      <c r="E20" s="111" t="s">
        <v>154</v>
      </c>
      <c r="F20" s="111" t="s">
        <v>166</v>
      </c>
      <c r="G20" s="111" t="s">
        <v>173</v>
      </c>
      <c r="H20" s="111" t="s">
        <v>757</v>
      </c>
      <c r="I20" s="78">
        <v>12</v>
      </c>
      <c r="J20" s="78">
        <v>12</v>
      </c>
      <c r="K20" s="348">
        <f t="shared" si="0"/>
        <v>0</v>
      </c>
      <c r="L20" s="78">
        <v>12</v>
      </c>
      <c r="M20" s="78">
        <v>12</v>
      </c>
      <c r="N20" s="346"/>
      <c r="O20" s="346"/>
    </row>
    <row r="21" spans="1:15" s="346" customFormat="1" ht="45.75" customHeight="1">
      <c r="A21" s="139" t="s">
        <v>296</v>
      </c>
      <c r="B21" s="343" t="s">
        <v>24</v>
      </c>
      <c r="C21" s="107" t="s">
        <v>49</v>
      </c>
      <c r="D21" s="71" t="s">
        <v>297</v>
      </c>
      <c r="E21" s="71" t="s">
        <v>154</v>
      </c>
      <c r="F21" s="71" t="s">
        <v>155</v>
      </c>
      <c r="G21" s="71" t="s">
        <v>156</v>
      </c>
      <c r="H21" s="71"/>
      <c r="I21" s="37">
        <f aca="true" t="shared" si="2" ref="I21:M23">I22</f>
        <v>1048.3</v>
      </c>
      <c r="J21" s="37">
        <f t="shared" si="2"/>
        <v>1048.3</v>
      </c>
      <c r="K21" s="344">
        <f t="shared" si="0"/>
        <v>0</v>
      </c>
      <c r="L21" s="37">
        <f t="shared" si="2"/>
        <v>1048.3</v>
      </c>
      <c r="M21" s="37">
        <f t="shared" si="2"/>
        <v>1048.3</v>
      </c>
      <c r="N21" s="345"/>
      <c r="O21" s="345"/>
    </row>
    <row r="22" spans="1:13" s="345" customFormat="1" ht="46.5" customHeight="1">
      <c r="A22" s="136" t="s">
        <v>489</v>
      </c>
      <c r="B22" s="343" t="s">
        <v>24</v>
      </c>
      <c r="C22" s="107" t="s">
        <v>49</v>
      </c>
      <c r="D22" s="71" t="s">
        <v>297</v>
      </c>
      <c r="E22" s="71" t="s">
        <v>140</v>
      </c>
      <c r="F22" s="71" t="s">
        <v>155</v>
      </c>
      <c r="G22" s="71" t="s">
        <v>156</v>
      </c>
      <c r="H22" s="71"/>
      <c r="I22" s="37">
        <f t="shared" si="2"/>
        <v>1048.3</v>
      </c>
      <c r="J22" s="37">
        <f t="shared" si="2"/>
        <v>1048.3</v>
      </c>
      <c r="K22" s="344">
        <f t="shared" si="0"/>
        <v>0</v>
      </c>
      <c r="L22" s="37">
        <f t="shared" si="2"/>
        <v>1048.3</v>
      </c>
      <c r="M22" s="37">
        <f t="shared" si="2"/>
        <v>1048.3</v>
      </c>
    </row>
    <row r="23" spans="1:13" s="345" customFormat="1" ht="47.25" customHeight="1">
      <c r="A23" s="137" t="s">
        <v>301</v>
      </c>
      <c r="B23" s="343" t="s">
        <v>24</v>
      </c>
      <c r="C23" s="107" t="s">
        <v>49</v>
      </c>
      <c r="D23" s="71" t="s">
        <v>297</v>
      </c>
      <c r="E23" s="71" t="s">
        <v>140</v>
      </c>
      <c r="F23" s="71" t="s">
        <v>153</v>
      </c>
      <c r="G23" s="71" t="s">
        <v>156</v>
      </c>
      <c r="H23" s="71"/>
      <c r="I23" s="37">
        <f t="shared" si="2"/>
        <v>1048.3</v>
      </c>
      <c r="J23" s="37">
        <f t="shared" si="2"/>
        <v>1048.3</v>
      </c>
      <c r="K23" s="344">
        <f t="shared" si="0"/>
        <v>0</v>
      </c>
      <c r="L23" s="37">
        <f t="shared" si="2"/>
        <v>1048.3</v>
      </c>
      <c r="M23" s="37">
        <f t="shared" si="2"/>
        <v>1048.3</v>
      </c>
    </row>
    <row r="24" spans="1:13" s="345" customFormat="1" ht="20.25" customHeight="1">
      <c r="A24" s="127" t="s">
        <v>303</v>
      </c>
      <c r="B24" s="347" t="s">
        <v>24</v>
      </c>
      <c r="C24" s="112" t="s">
        <v>49</v>
      </c>
      <c r="D24" s="111" t="s">
        <v>297</v>
      </c>
      <c r="E24" s="111" t="s">
        <v>140</v>
      </c>
      <c r="F24" s="111" t="s">
        <v>153</v>
      </c>
      <c r="G24" s="111" t="s">
        <v>304</v>
      </c>
      <c r="H24" s="111"/>
      <c r="I24" s="78">
        <f>I25+I26</f>
        <v>1048.3</v>
      </c>
      <c r="J24" s="78">
        <f>J25+J26</f>
        <v>1048.3</v>
      </c>
      <c r="K24" s="348">
        <f t="shared" si="0"/>
        <v>0</v>
      </c>
      <c r="L24" s="78">
        <f>L25+L26</f>
        <v>1048.3</v>
      </c>
      <c r="M24" s="78">
        <f>M25+M26</f>
        <v>1048.3</v>
      </c>
    </row>
    <row r="25" spans="1:13" s="345" customFormat="1" ht="66.75" customHeight="1">
      <c r="A25" s="123" t="s">
        <v>755</v>
      </c>
      <c r="B25" s="347" t="s">
        <v>24</v>
      </c>
      <c r="C25" s="112" t="s">
        <v>49</v>
      </c>
      <c r="D25" s="111" t="s">
        <v>297</v>
      </c>
      <c r="E25" s="111" t="s">
        <v>140</v>
      </c>
      <c r="F25" s="111" t="s">
        <v>153</v>
      </c>
      <c r="G25" s="111" t="s">
        <v>304</v>
      </c>
      <c r="H25" s="111" t="s">
        <v>756</v>
      </c>
      <c r="I25" s="78">
        <v>848.3</v>
      </c>
      <c r="J25" s="78">
        <v>848.3</v>
      </c>
      <c r="K25" s="348">
        <f t="shared" si="0"/>
        <v>0</v>
      </c>
      <c r="L25" s="78">
        <v>848.3</v>
      </c>
      <c r="M25" s="78">
        <v>848.3</v>
      </c>
    </row>
    <row r="26" spans="1:13" s="345" customFormat="1" ht="33.75" customHeight="1">
      <c r="A26" s="121" t="s">
        <v>758</v>
      </c>
      <c r="B26" s="347" t="s">
        <v>24</v>
      </c>
      <c r="C26" s="112" t="s">
        <v>49</v>
      </c>
      <c r="D26" s="111" t="s">
        <v>297</v>
      </c>
      <c r="E26" s="111" t="s">
        <v>140</v>
      </c>
      <c r="F26" s="111" t="s">
        <v>153</v>
      </c>
      <c r="G26" s="111" t="s">
        <v>304</v>
      </c>
      <c r="H26" s="111" t="s">
        <v>757</v>
      </c>
      <c r="I26" s="78">
        <v>200</v>
      </c>
      <c r="J26" s="78">
        <v>200</v>
      </c>
      <c r="K26" s="348">
        <f t="shared" si="0"/>
        <v>0</v>
      </c>
      <c r="L26" s="78">
        <v>200</v>
      </c>
      <c r="M26" s="78">
        <v>200</v>
      </c>
    </row>
    <row r="27" spans="1:13" s="345" customFormat="1" ht="48" customHeight="1">
      <c r="A27" s="139" t="s">
        <v>340</v>
      </c>
      <c r="B27" s="343">
        <v>110</v>
      </c>
      <c r="C27" s="107" t="s">
        <v>49</v>
      </c>
      <c r="D27" s="71" t="s">
        <v>309</v>
      </c>
      <c r="E27" s="71" t="s">
        <v>154</v>
      </c>
      <c r="F27" s="71" t="s">
        <v>155</v>
      </c>
      <c r="G27" s="71" t="s">
        <v>156</v>
      </c>
      <c r="H27" s="71"/>
      <c r="I27" s="37">
        <f aca="true" t="shared" si="3" ref="I27:M30">I28</f>
        <v>384</v>
      </c>
      <c r="J27" s="37">
        <f t="shared" si="3"/>
        <v>384</v>
      </c>
      <c r="K27" s="344">
        <f t="shared" si="0"/>
        <v>0</v>
      </c>
      <c r="L27" s="37">
        <f t="shared" si="3"/>
        <v>384</v>
      </c>
      <c r="M27" s="37">
        <f t="shared" si="3"/>
        <v>384</v>
      </c>
    </row>
    <row r="28" spans="1:15" s="345" customFormat="1" ht="50.25" customHeight="1">
      <c r="A28" s="136" t="s">
        <v>912</v>
      </c>
      <c r="B28" s="343">
        <v>110</v>
      </c>
      <c r="C28" s="107" t="s">
        <v>49</v>
      </c>
      <c r="D28" s="71" t="s">
        <v>309</v>
      </c>
      <c r="E28" s="71" t="s">
        <v>139</v>
      </c>
      <c r="F28" s="71" t="s">
        <v>155</v>
      </c>
      <c r="G28" s="71" t="s">
        <v>156</v>
      </c>
      <c r="H28" s="71"/>
      <c r="I28" s="37">
        <f t="shared" si="3"/>
        <v>384</v>
      </c>
      <c r="J28" s="37">
        <f t="shared" si="3"/>
        <v>384</v>
      </c>
      <c r="K28" s="344">
        <f t="shared" si="0"/>
        <v>0</v>
      </c>
      <c r="L28" s="37">
        <f t="shared" si="3"/>
        <v>384</v>
      </c>
      <c r="M28" s="37">
        <f t="shared" si="3"/>
        <v>384</v>
      </c>
      <c r="N28" s="194"/>
      <c r="O28" s="194"/>
    </row>
    <row r="29" spans="1:15" s="345" customFormat="1" ht="34.5" customHeight="1">
      <c r="A29" s="136" t="s">
        <v>913</v>
      </c>
      <c r="B29" s="343" t="s">
        <v>24</v>
      </c>
      <c r="C29" s="107" t="s">
        <v>49</v>
      </c>
      <c r="D29" s="71" t="s">
        <v>309</v>
      </c>
      <c r="E29" s="71" t="s">
        <v>139</v>
      </c>
      <c r="F29" s="71" t="s">
        <v>153</v>
      </c>
      <c r="G29" s="71" t="s">
        <v>156</v>
      </c>
      <c r="H29" s="71"/>
      <c r="I29" s="37">
        <f t="shared" si="3"/>
        <v>384</v>
      </c>
      <c r="J29" s="37">
        <f t="shared" si="3"/>
        <v>384</v>
      </c>
      <c r="K29" s="344">
        <f t="shared" si="0"/>
        <v>0</v>
      </c>
      <c r="L29" s="37">
        <f t="shared" si="3"/>
        <v>384</v>
      </c>
      <c r="M29" s="37">
        <f t="shared" si="3"/>
        <v>384</v>
      </c>
      <c r="N29" s="350"/>
      <c r="O29" s="350"/>
    </row>
    <row r="30" spans="1:13" s="194" customFormat="1" ht="30.75" customHeight="1">
      <c r="A30" s="127" t="s">
        <v>352</v>
      </c>
      <c r="B30" s="347" t="s">
        <v>24</v>
      </c>
      <c r="C30" s="112" t="s">
        <v>49</v>
      </c>
      <c r="D30" s="111" t="s">
        <v>309</v>
      </c>
      <c r="E30" s="111" t="s">
        <v>139</v>
      </c>
      <c r="F30" s="111" t="s">
        <v>153</v>
      </c>
      <c r="G30" s="111" t="s">
        <v>353</v>
      </c>
      <c r="H30" s="111"/>
      <c r="I30" s="78">
        <f t="shared" si="3"/>
        <v>384</v>
      </c>
      <c r="J30" s="78">
        <f t="shared" si="3"/>
        <v>384</v>
      </c>
      <c r="K30" s="348">
        <f t="shared" si="0"/>
        <v>0</v>
      </c>
      <c r="L30" s="78">
        <f t="shared" si="3"/>
        <v>384</v>
      </c>
      <c r="M30" s="78">
        <f t="shared" si="3"/>
        <v>384</v>
      </c>
    </row>
    <row r="31" spans="1:13" s="194" customFormat="1" ht="33.75" customHeight="1">
      <c r="A31" s="123" t="s">
        <v>758</v>
      </c>
      <c r="B31" s="347" t="s">
        <v>24</v>
      </c>
      <c r="C31" s="112" t="s">
        <v>49</v>
      </c>
      <c r="D31" s="111" t="s">
        <v>309</v>
      </c>
      <c r="E31" s="111" t="s">
        <v>139</v>
      </c>
      <c r="F31" s="111" t="s">
        <v>153</v>
      </c>
      <c r="G31" s="111" t="s">
        <v>353</v>
      </c>
      <c r="H31" s="111" t="s">
        <v>757</v>
      </c>
      <c r="I31" s="78">
        <v>384</v>
      </c>
      <c r="J31" s="78">
        <v>384</v>
      </c>
      <c r="K31" s="348">
        <f t="shared" si="0"/>
        <v>0</v>
      </c>
      <c r="L31" s="78">
        <v>384</v>
      </c>
      <c r="M31" s="78">
        <v>384</v>
      </c>
    </row>
    <row r="32" spans="1:15" s="194" customFormat="1" ht="33.75" customHeight="1">
      <c r="A32" s="139" t="s">
        <v>145</v>
      </c>
      <c r="B32" s="343">
        <v>110</v>
      </c>
      <c r="C32" s="107" t="s">
        <v>49</v>
      </c>
      <c r="D32" s="71" t="s">
        <v>350</v>
      </c>
      <c r="E32" s="71" t="s">
        <v>154</v>
      </c>
      <c r="F32" s="71" t="s">
        <v>155</v>
      </c>
      <c r="G32" s="71" t="s">
        <v>156</v>
      </c>
      <c r="H32" s="71"/>
      <c r="I32" s="37">
        <f aca="true" t="shared" si="4" ref="I32:M33">I33</f>
        <v>3519.1</v>
      </c>
      <c r="J32" s="37">
        <f t="shared" si="4"/>
        <v>3519.1</v>
      </c>
      <c r="K32" s="344">
        <f t="shared" si="0"/>
        <v>0</v>
      </c>
      <c r="L32" s="37">
        <f t="shared" si="4"/>
        <v>3519.1</v>
      </c>
      <c r="M32" s="37">
        <f t="shared" si="4"/>
        <v>3519</v>
      </c>
      <c r="N32" s="346"/>
      <c r="O32" s="346"/>
    </row>
    <row r="33" spans="1:15" s="194" customFormat="1" ht="35.25" customHeight="1">
      <c r="A33" s="136" t="s">
        <v>355</v>
      </c>
      <c r="B33" s="343">
        <v>110</v>
      </c>
      <c r="C33" s="107" t="s">
        <v>49</v>
      </c>
      <c r="D33" s="71" t="s">
        <v>350</v>
      </c>
      <c r="E33" s="71" t="s">
        <v>136</v>
      </c>
      <c r="F33" s="71" t="s">
        <v>155</v>
      </c>
      <c r="G33" s="71" t="s">
        <v>156</v>
      </c>
      <c r="H33" s="71"/>
      <c r="I33" s="37">
        <f t="shared" si="4"/>
        <v>3519.1</v>
      </c>
      <c r="J33" s="37">
        <f t="shared" si="4"/>
        <v>3519.1</v>
      </c>
      <c r="K33" s="344">
        <f t="shared" si="0"/>
        <v>0</v>
      </c>
      <c r="L33" s="37">
        <f t="shared" si="4"/>
        <v>3519.1</v>
      </c>
      <c r="M33" s="37">
        <f t="shared" si="4"/>
        <v>3519</v>
      </c>
      <c r="N33" s="346"/>
      <c r="O33" s="346"/>
    </row>
    <row r="34" spans="1:15" s="345" customFormat="1" ht="30.75" customHeight="1">
      <c r="A34" s="136" t="s">
        <v>356</v>
      </c>
      <c r="B34" s="343">
        <v>110</v>
      </c>
      <c r="C34" s="107" t="s">
        <v>49</v>
      </c>
      <c r="D34" s="71" t="s">
        <v>350</v>
      </c>
      <c r="E34" s="71" t="s">
        <v>136</v>
      </c>
      <c r="F34" s="71" t="s">
        <v>153</v>
      </c>
      <c r="G34" s="71" t="s">
        <v>156</v>
      </c>
      <c r="H34" s="71"/>
      <c r="I34" s="37">
        <f>I35+I38</f>
        <v>3519.1</v>
      </c>
      <c r="J34" s="37">
        <f>J35+J38</f>
        <v>3519.1</v>
      </c>
      <c r="K34" s="344">
        <f t="shared" si="0"/>
        <v>0</v>
      </c>
      <c r="L34" s="37">
        <f>L35+L38</f>
        <v>3519.1</v>
      </c>
      <c r="M34" s="37">
        <f>M35+M38</f>
        <v>3519</v>
      </c>
      <c r="N34" s="350"/>
      <c r="O34" s="350"/>
    </row>
    <row r="35" spans="1:15" s="346" customFormat="1" ht="32.25" customHeight="1">
      <c r="A35" s="127" t="s">
        <v>357</v>
      </c>
      <c r="B35" s="347">
        <v>110</v>
      </c>
      <c r="C35" s="112" t="s">
        <v>49</v>
      </c>
      <c r="D35" s="111" t="s">
        <v>350</v>
      </c>
      <c r="E35" s="111" t="s">
        <v>136</v>
      </c>
      <c r="F35" s="111" t="s">
        <v>153</v>
      </c>
      <c r="G35" s="111" t="s">
        <v>358</v>
      </c>
      <c r="H35" s="111"/>
      <c r="I35" s="78">
        <f>I36+I37</f>
        <v>2750.1</v>
      </c>
      <c r="J35" s="78">
        <f>J36+J37</f>
        <v>2750.1</v>
      </c>
      <c r="K35" s="348">
        <f t="shared" si="0"/>
        <v>0</v>
      </c>
      <c r="L35" s="78">
        <f>L36+L37</f>
        <v>2750.1</v>
      </c>
      <c r="M35" s="78">
        <f>M36+M37</f>
        <v>2750.1</v>
      </c>
      <c r="N35" s="345"/>
      <c r="O35" s="345"/>
    </row>
    <row r="36" spans="1:13" s="194" customFormat="1" ht="63.75" customHeight="1">
      <c r="A36" s="123" t="s">
        <v>755</v>
      </c>
      <c r="B36" s="347">
        <v>110</v>
      </c>
      <c r="C36" s="112" t="s">
        <v>49</v>
      </c>
      <c r="D36" s="111" t="s">
        <v>350</v>
      </c>
      <c r="E36" s="111" t="s">
        <v>136</v>
      </c>
      <c r="F36" s="111" t="s">
        <v>153</v>
      </c>
      <c r="G36" s="111" t="s">
        <v>358</v>
      </c>
      <c r="H36" s="111" t="s">
        <v>756</v>
      </c>
      <c r="I36" s="78">
        <v>2638.9</v>
      </c>
      <c r="J36" s="78">
        <v>2638.9</v>
      </c>
      <c r="K36" s="348">
        <f t="shared" si="0"/>
        <v>0</v>
      </c>
      <c r="L36" s="78">
        <v>2638.9</v>
      </c>
      <c r="M36" s="78">
        <v>2638.9</v>
      </c>
    </row>
    <row r="37" spans="1:15" s="345" customFormat="1" ht="32.25" customHeight="1">
      <c r="A37" s="123" t="s">
        <v>758</v>
      </c>
      <c r="B37" s="347">
        <v>110</v>
      </c>
      <c r="C37" s="112" t="s">
        <v>49</v>
      </c>
      <c r="D37" s="111" t="s">
        <v>350</v>
      </c>
      <c r="E37" s="111" t="s">
        <v>136</v>
      </c>
      <c r="F37" s="111" t="s">
        <v>153</v>
      </c>
      <c r="G37" s="111" t="s">
        <v>358</v>
      </c>
      <c r="H37" s="111" t="s">
        <v>757</v>
      </c>
      <c r="I37" s="78">
        <v>111.2</v>
      </c>
      <c r="J37" s="78">
        <v>111.2</v>
      </c>
      <c r="K37" s="348">
        <f t="shared" si="0"/>
        <v>0</v>
      </c>
      <c r="L37" s="78">
        <v>111.2</v>
      </c>
      <c r="M37" s="78">
        <v>111.2</v>
      </c>
      <c r="N37" s="194"/>
      <c r="O37" s="194"/>
    </row>
    <row r="38" spans="1:15" s="194" customFormat="1" ht="21" customHeight="1">
      <c r="A38" s="127" t="s">
        <v>359</v>
      </c>
      <c r="B38" s="347">
        <v>110</v>
      </c>
      <c r="C38" s="112" t="s">
        <v>49</v>
      </c>
      <c r="D38" s="111" t="s">
        <v>350</v>
      </c>
      <c r="E38" s="111" t="s">
        <v>136</v>
      </c>
      <c r="F38" s="111" t="s">
        <v>153</v>
      </c>
      <c r="G38" s="111" t="s">
        <v>360</v>
      </c>
      <c r="H38" s="111"/>
      <c r="I38" s="78">
        <f>I39+I40</f>
        <v>769</v>
      </c>
      <c r="J38" s="78">
        <f>J39+J40</f>
        <v>769</v>
      </c>
      <c r="K38" s="348">
        <f t="shared" si="0"/>
        <v>0</v>
      </c>
      <c r="L38" s="78">
        <f>L39+L40</f>
        <v>769</v>
      </c>
      <c r="M38" s="78">
        <f>M39+M40</f>
        <v>768.9000000000001</v>
      </c>
      <c r="N38" s="345"/>
      <c r="O38" s="345"/>
    </row>
    <row r="39" spans="1:15" s="194" customFormat="1" ht="63.75" customHeight="1">
      <c r="A39" s="123" t="s">
        <v>755</v>
      </c>
      <c r="B39" s="347">
        <v>110</v>
      </c>
      <c r="C39" s="112" t="s">
        <v>49</v>
      </c>
      <c r="D39" s="111" t="s">
        <v>350</v>
      </c>
      <c r="E39" s="111" t="s">
        <v>136</v>
      </c>
      <c r="F39" s="111" t="s">
        <v>153</v>
      </c>
      <c r="G39" s="111" t="s">
        <v>360</v>
      </c>
      <c r="H39" s="111" t="s">
        <v>756</v>
      </c>
      <c r="I39" s="78">
        <v>702.1</v>
      </c>
      <c r="J39" s="78">
        <v>702.1</v>
      </c>
      <c r="K39" s="348">
        <f t="shared" si="0"/>
        <v>0</v>
      </c>
      <c r="L39" s="78">
        <v>702.1</v>
      </c>
      <c r="M39" s="78">
        <v>702.1</v>
      </c>
      <c r="N39" s="345"/>
      <c r="O39" s="345"/>
    </row>
    <row r="40" spans="1:13" s="345" customFormat="1" ht="33.75" customHeight="1">
      <c r="A40" s="123" t="s">
        <v>758</v>
      </c>
      <c r="B40" s="347">
        <v>110</v>
      </c>
      <c r="C40" s="112" t="s">
        <v>49</v>
      </c>
      <c r="D40" s="111" t="s">
        <v>350</v>
      </c>
      <c r="E40" s="111" t="s">
        <v>136</v>
      </c>
      <c r="F40" s="111" t="s">
        <v>153</v>
      </c>
      <c r="G40" s="111" t="s">
        <v>360</v>
      </c>
      <c r="H40" s="111" t="s">
        <v>757</v>
      </c>
      <c r="I40" s="78">
        <f>44.2+22.6+0.1</f>
        <v>66.9</v>
      </c>
      <c r="J40" s="78">
        <f>44.2+22.6+0.1</f>
        <v>66.9</v>
      </c>
      <c r="K40" s="348">
        <f t="shared" si="0"/>
        <v>0</v>
      </c>
      <c r="L40" s="78">
        <f>44.2+22.7</f>
        <v>66.9</v>
      </c>
      <c r="M40" s="78">
        <f>44.2+22.6</f>
        <v>66.80000000000001</v>
      </c>
    </row>
    <row r="41" spans="1:13" s="345" customFormat="1" ht="27.75" customHeight="1">
      <c r="A41" s="139" t="s">
        <v>407</v>
      </c>
      <c r="B41" s="343" t="s">
        <v>24</v>
      </c>
      <c r="C41" s="107" t="s">
        <v>49</v>
      </c>
      <c r="D41" s="107">
        <v>67</v>
      </c>
      <c r="E41" s="107">
        <v>0</v>
      </c>
      <c r="F41" s="107" t="s">
        <v>155</v>
      </c>
      <c r="G41" s="107" t="s">
        <v>156</v>
      </c>
      <c r="H41" s="105"/>
      <c r="I41" s="37">
        <f>I42+I46</f>
        <v>105527.60000000002</v>
      </c>
      <c r="J41" s="37">
        <f>J42+J46</f>
        <v>105527.60000000002</v>
      </c>
      <c r="K41" s="344">
        <f t="shared" si="0"/>
        <v>0</v>
      </c>
      <c r="L41" s="37">
        <f>L42+L46</f>
        <v>98674.09999999999</v>
      </c>
      <c r="M41" s="37">
        <f>M42+M46</f>
        <v>98595.2</v>
      </c>
    </row>
    <row r="42" spans="1:13" s="345" customFormat="1" ht="48" customHeight="1">
      <c r="A42" s="136" t="s">
        <v>413</v>
      </c>
      <c r="B42" s="343" t="s">
        <v>24</v>
      </c>
      <c r="C42" s="107" t="s">
        <v>49</v>
      </c>
      <c r="D42" s="71" t="s">
        <v>408</v>
      </c>
      <c r="E42" s="71" t="s">
        <v>137</v>
      </c>
      <c r="F42" s="71" t="s">
        <v>155</v>
      </c>
      <c r="G42" s="71" t="s">
        <v>156</v>
      </c>
      <c r="H42" s="71"/>
      <c r="I42" s="37">
        <f aca="true" t="shared" si="5" ref="I42:M44">I43</f>
        <v>3073.5999999999995</v>
      </c>
      <c r="J42" s="37">
        <f t="shared" si="5"/>
        <v>3073.5999999999995</v>
      </c>
      <c r="K42" s="344">
        <f t="shared" si="0"/>
        <v>0</v>
      </c>
      <c r="L42" s="37">
        <f t="shared" si="5"/>
        <v>4193.9</v>
      </c>
      <c r="M42" s="37">
        <f t="shared" si="5"/>
        <v>4193.9</v>
      </c>
    </row>
    <row r="43" spans="1:13" s="345" customFormat="1" ht="21.75" customHeight="1">
      <c r="A43" s="137" t="s">
        <v>410</v>
      </c>
      <c r="B43" s="343" t="s">
        <v>24</v>
      </c>
      <c r="C43" s="107" t="s">
        <v>49</v>
      </c>
      <c r="D43" s="107" t="s">
        <v>408</v>
      </c>
      <c r="E43" s="107" t="s">
        <v>137</v>
      </c>
      <c r="F43" s="107" t="s">
        <v>153</v>
      </c>
      <c r="G43" s="107" t="s">
        <v>156</v>
      </c>
      <c r="H43" s="105"/>
      <c r="I43" s="37">
        <f t="shared" si="5"/>
        <v>3073.5999999999995</v>
      </c>
      <c r="J43" s="37">
        <f t="shared" si="5"/>
        <v>3073.5999999999995</v>
      </c>
      <c r="K43" s="344">
        <f t="shared" si="0"/>
        <v>0</v>
      </c>
      <c r="L43" s="37">
        <f t="shared" si="5"/>
        <v>4193.9</v>
      </c>
      <c r="M43" s="37">
        <f t="shared" si="5"/>
        <v>4193.9</v>
      </c>
    </row>
    <row r="44" spans="1:13" s="345" customFormat="1" ht="15.75" customHeight="1">
      <c r="A44" s="123" t="s">
        <v>411</v>
      </c>
      <c r="B44" s="347" t="s">
        <v>24</v>
      </c>
      <c r="C44" s="112" t="s">
        <v>49</v>
      </c>
      <c r="D44" s="112" t="s">
        <v>408</v>
      </c>
      <c r="E44" s="112" t="s">
        <v>137</v>
      </c>
      <c r="F44" s="112" t="s">
        <v>153</v>
      </c>
      <c r="G44" s="112" t="s">
        <v>412</v>
      </c>
      <c r="H44" s="129"/>
      <c r="I44" s="78">
        <f t="shared" si="5"/>
        <v>3073.5999999999995</v>
      </c>
      <c r="J44" s="78">
        <f t="shared" si="5"/>
        <v>3073.5999999999995</v>
      </c>
      <c r="K44" s="348">
        <f t="shared" si="0"/>
        <v>0</v>
      </c>
      <c r="L44" s="78">
        <f t="shared" si="5"/>
        <v>4193.9</v>
      </c>
      <c r="M44" s="78">
        <f t="shared" si="5"/>
        <v>4193.9</v>
      </c>
    </row>
    <row r="45" spans="1:13" s="345" customFormat="1" ht="64.5" customHeight="1">
      <c r="A45" s="123" t="s">
        <v>755</v>
      </c>
      <c r="B45" s="347" t="s">
        <v>24</v>
      </c>
      <c r="C45" s="112" t="s">
        <v>49</v>
      </c>
      <c r="D45" s="112" t="s">
        <v>408</v>
      </c>
      <c r="E45" s="112" t="s">
        <v>137</v>
      </c>
      <c r="F45" s="112" t="s">
        <v>153</v>
      </c>
      <c r="G45" s="112" t="s">
        <v>412</v>
      </c>
      <c r="H45" s="129">
        <v>100</v>
      </c>
      <c r="I45" s="78">
        <f>4193.9-498.9-621.4</f>
        <v>3073.5999999999995</v>
      </c>
      <c r="J45" s="78">
        <f>4193.9-498.9-621.4</f>
        <v>3073.5999999999995</v>
      </c>
      <c r="K45" s="348">
        <f t="shared" si="0"/>
        <v>0</v>
      </c>
      <c r="L45" s="78">
        <v>4193.9</v>
      </c>
      <c r="M45" s="78">
        <v>4193.9</v>
      </c>
    </row>
    <row r="46" spans="1:13" s="345" customFormat="1" ht="31.5" customHeight="1">
      <c r="A46" s="136" t="s">
        <v>508</v>
      </c>
      <c r="B46" s="343" t="s">
        <v>24</v>
      </c>
      <c r="C46" s="107" t="s">
        <v>49</v>
      </c>
      <c r="D46" s="71" t="s">
        <v>408</v>
      </c>
      <c r="E46" s="71" t="s">
        <v>139</v>
      </c>
      <c r="F46" s="71" t="s">
        <v>155</v>
      </c>
      <c r="G46" s="71" t="s">
        <v>156</v>
      </c>
      <c r="H46" s="71"/>
      <c r="I46" s="37">
        <f>I47</f>
        <v>102454.00000000001</v>
      </c>
      <c r="J46" s="37">
        <f>J47</f>
        <v>102454.00000000001</v>
      </c>
      <c r="K46" s="344">
        <f t="shared" si="0"/>
        <v>0</v>
      </c>
      <c r="L46" s="37">
        <f>L47</f>
        <v>94480.2</v>
      </c>
      <c r="M46" s="37">
        <f>M47</f>
        <v>94401.3</v>
      </c>
    </row>
    <row r="47" spans="1:15" s="345" customFormat="1" ht="19.5" customHeight="1">
      <c r="A47" s="137" t="s">
        <v>410</v>
      </c>
      <c r="B47" s="343" t="s">
        <v>24</v>
      </c>
      <c r="C47" s="107" t="s">
        <v>49</v>
      </c>
      <c r="D47" s="107" t="s">
        <v>408</v>
      </c>
      <c r="E47" s="107" t="s">
        <v>139</v>
      </c>
      <c r="F47" s="107" t="s">
        <v>153</v>
      </c>
      <c r="G47" s="107" t="s">
        <v>156</v>
      </c>
      <c r="H47" s="105"/>
      <c r="I47" s="37">
        <f>I48+I52+I56+I60+I62+I65+I54</f>
        <v>102454.00000000001</v>
      </c>
      <c r="J47" s="37">
        <f>J48+J52+J56+J60+J62+J65+J54</f>
        <v>102454.00000000001</v>
      </c>
      <c r="K47" s="344">
        <f t="shared" si="0"/>
        <v>0</v>
      </c>
      <c r="L47" s="37">
        <f>L48+L52+L56+L60+L62+L65+L54</f>
        <v>94480.2</v>
      </c>
      <c r="M47" s="37">
        <f>M48+M52+M56+M60+M62+M65+M54</f>
        <v>94401.3</v>
      </c>
      <c r="N47" s="350"/>
      <c r="O47" s="350"/>
    </row>
    <row r="48" spans="1:13" s="192" customFormat="1" ht="20.25" customHeight="1">
      <c r="A48" s="123" t="s">
        <v>411</v>
      </c>
      <c r="B48" s="347" t="s">
        <v>24</v>
      </c>
      <c r="C48" s="112" t="s">
        <v>49</v>
      </c>
      <c r="D48" s="112" t="s">
        <v>408</v>
      </c>
      <c r="E48" s="112" t="s">
        <v>139</v>
      </c>
      <c r="F48" s="112" t="s">
        <v>153</v>
      </c>
      <c r="G48" s="112" t="s">
        <v>412</v>
      </c>
      <c r="H48" s="129"/>
      <c r="I48" s="78">
        <f>I49+I50+I51</f>
        <v>73042.8</v>
      </c>
      <c r="J48" s="78">
        <f>J49+J50+J51</f>
        <v>73042.8</v>
      </c>
      <c r="K48" s="348">
        <f t="shared" si="0"/>
        <v>0</v>
      </c>
      <c r="L48" s="78">
        <f>L49+L50+L51</f>
        <v>73757.2</v>
      </c>
      <c r="M48" s="78">
        <f>M49+M50+M51</f>
        <v>73782.4</v>
      </c>
    </row>
    <row r="49" spans="1:15" s="192" customFormat="1" ht="63" customHeight="1">
      <c r="A49" s="123" t="s">
        <v>755</v>
      </c>
      <c r="B49" s="347" t="s">
        <v>24</v>
      </c>
      <c r="C49" s="112" t="s">
        <v>49</v>
      </c>
      <c r="D49" s="112" t="s">
        <v>408</v>
      </c>
      <c r="E49" s="112" t="s">
        <v>139</v>
      </c>
      <c r="F49" s="112" t="s">
        <v>153</v>
      </c>
      <c r="G49" s="112" t="s">
        <v>412</v>
      </c>
      <c r="H49" s="129">
        <v>100</v>
      </c>
      <c r="I49" s="78">
        <f>68343.6-50</f>
        <v>68293.6</v>
      </c>
      <c r="J49" s="78">
        <f>68343.6-50</f>
        <v>68293.6</v>
      </c>
      <c r="K49" s="348">
        <f t="shared" si="0"/>
        <v>0</v>
      </c>
      <c r="L49" s="78">
        <f>68343.6-50</f>
        <v>68293.6</v>
      </c>
      <c r="M49" s="78">
        <f>68343.6-150</f>
        <v>68193.6</v>
      </c>
      <c r="O49" s="326"/>
    </row>
    <row r="50" spans="1:15" s="192" customFormat="1" ht="33.75" customHeight="1">
      <c r="A50" s="123" t="s">
        <v>758</v>
      </c>
      <c r="B50" s="347" t="s">
        <v>24</v>
      </c>
      <c r="C50" s="112" t="s">
        <v>49</v>
      </c>
      <c r="D50" s="112" t="s">
        <v>408</v>
      </c>
      <c r="E50" s="112" t="s">
        <v>139</v>
      </c>
      <c r="F50" s="112" t="s">
        <v>153</v>
      </c>
      <c r="G50" s="112" t="s">
        <v>412</v>
      </c>
      <c r="H50" s="129">
        <v>200</v>
      </c>
      <c r="I50" s="78">
        <f>5082.8-200-425</f>
        <v>4457.8</v>
      </c>
      <c r="J50" s="78">
        <f>5082.8-200-425</f>
        <v>4457.8</v>
      </c>
      <c r="K50" s="348">
        <f t="shared" si="0"/>
        <v>0</v>
      </c>
      <c r="L50" s="78">
        <f>5372.2-200</f>
        <v>5172.2</v>
      </c>
      <c r="M50" s="78">
        <f>5497.4-200</f>
        <v>5297.4</v>
      </c>
      <c r="N50" s="345"/>
      <c r="O50" s="345"/>
    </row>
    <row r="51" spans="1:15" s="192" customFormat="1" ht="19.5" customHeight="1">
      <c r="A51" s="123" t="s">
        <v>759</v>
      </c>
      <c r="B51" s="347" t="s">
        <v>24</v>
      </c>
      <c r="C51" s="112" t="s">
        <v>49</v>
      </c>
      <c r="D51" s="112" t="s">
        <v>408</v>
      </c>
      <c r="E51" s="112" t="s">
        <v>139</v>
      </c>
      <c r="F51" s="112" t="s">
        <v>153</v>
      </c>
      <c r="G51" s="112" t="s">
        <v>412</v>
      </c>
      <c r="H51" s="129">
        <v>800</v>
      </c>
      <c r="I51" s="78">
        <v>291.4</v>
      </c>
      <c r="J51" s="78">
        <v>291.4</v>
      </c>
      <c r="K51" s="348">
        <f t="shared" si="0"/>
        <v>0</v>
      </c>
      <c r="L51" s="78">
        <v>291.4</v>
      </c>
      <c r="M51" s="78">
        <v>291.4</v>
      </c>
      <c r="N51" s="346"/>
      <c r="O51" s="346"/>
    </row>
    <row r="52" spans="1:15" s="345" customFormat="1" ht="35.25" customHeight="1" hidden="1">
      <c r="A52" s="123" t="s">
        <v>418</v>
      </c>
      <c r="B52" s="347" t="s">
        <v>24</v>
      </c>
      <c r="C52" s="112" t="s">
        <v>49</v>
      </c>
      <c r="D52" s="112" t="s">
        <v>408</v>
      </c>
      <c r="E52" s="112" t="s">
        <v>139</v>
      </c>
      <c r="F52" s="112" t="s">
        <v>153</v>
      </c>
      <c r="G52" s="112" t="s">
        <v>419</v>
      </c>
      <c r="H52" s="111"/>
      <c r="I52" s="78">
        <f>I53</f>
        <v>0</v>
      </c>
      <c r="J52" s="78">
        <f>J53</f>
        <v>0</v>
      </c>
      <c r="K52" s="348">
        <f t="shared" si="0"/>
        <v>0</v>
      </c>
      <c r="L52" s="78">
        <f>L53</f>
        <v>0</v>
      </c>
      <c r="M52" s="78">
        <f>M53</f>
        <v>0</v>
      </c>
      <c r="N52" s="346"/>
      <c r="O52" s="346"/>
    </row>
    <row r="53" spans="1:13" s="346" customFormat="1" ht="29.25" customHeight="1" hidden="1">
      <c r="A53" s="123" t="s">
        <v>755</v>
      </c>
      <c r="B53" s="347" t="s">
        <v>24</v>
      </c>
      <c r="C53" s="112" t="s">
        <v>49</v>
      </c>
      <c r="D53" s="112" t="s">
        <v>408</v>
      </c>
      <c r="E53" s="112" t="s">
        <v>139</v>
      </c>
      <c r="F53" s="112" t="s">
        <v>153</v>
      </c>
      <c r="G53" s="112" t="s">
        <v>419</v>
      </c>
      <c r="H53" s="111" t="s">
        <v>756</v>
      </c>
      <c r="I53" s="78"/>
      <c r="J53" s="351"/>
      <c r="K53" s="348">
        <f t="shared" si="0"/>
        <v>0</v>
      </c>
      <c r="L53" s="78"/>
      <c r="M53" s="78"/>
    </row>
    <row r="54" spans="1:13" s="346" customFormat="1" ht="48.75" customHeight="1">
      <c r="A54" s="123" t="s">
        <v>1168</v>
      </c>
      <c r="B54" s="347" t="s">
        <v>24</v>
      </c>
      <c r="C54" s="112" t="s">
        <v>49</v>
      </c>
      <c r="D54" s="112" t="s">
        <v>408</v>
      </c>
      <c r="E54" s="112" t="s">
        <v>139</v>
      </c>
      <c r="F54" s="112" t="s">
        <v>153</v>
      </c>
      <c r="G54" s="112" t="s">
        <v>1169</v>
      </c>
      <c r="H54" s="111"/>
      <c r="I54" s="78">
        <f>I55</f>
        <v>2473.6</v>
      </c>
      <c r="J54" s="78">
        <f>J55</f>
        <v>2473.6</v>
      </c>
      <c r="K54" s="348">
        <f t="shared" si="0"/>
        <v>0</v>
      </c>
      <c r="L54" s="78">
        <f>L55</f>
        <v>0</v>
      </c>
      <c r="M54" s="78">
        <f>M55</f>
        <v>0</v>
      </c>
    </row>
    <row r="55" spans="1:13" s="346" customFormat="1" ht="30" customHeight="1">
      <c r="A55" s="123" t="s">
        <v>758</v>
      </c>
      <c r="B55" s="347" t="s">
        <v>24</v>
      </c>
      <c r="C55" s="112" t="s">
        <v>49</v>
      </c>
      <c r="D55" s="112" t="s">
        <v>408</v>
      </c>
      <c r="E55" s="112" t="s">
        <v>139</v>
      </c>
      <c r="F55" s="112" t="s">
        <v>153</v>
      </c>
      <c r="G55" s="112" t="s">
        <v>1169</v>
      </c>
      <c r="H55" s="129">
        <v>200</v>
      </c>
      <c r="I55" s="143">
        <v>2473.6</v>
      </c>
      <c r="J55" s="143">
        <v>2473.6</v>
      </c>
      <c r="K55" s="348">
        <f t="shared" si="0"/>
        <v>0</v>
      </c>
      <c r="L55" s="78"/>
      <c r="M55" s="78"/>
    </row>
    <row r="56" spans="1:13" s="346" customFormat="1" ht="15.75" customHeight="1">
      <c r="A56" s="123" t="s">
        <v>336</v>
      </c>
      <c r="B56" s="347" t="s">
        <v>24</v>
      </c>
      <c r="C56" s="112" t="s">
        <v>49</v>
      </c>
      <c r="D56" s="112" t="s">
        <v>408</v>
      </c>
      <c r="E56" s="112" t="s">
        <v>139</v>
      </c>
      <c r="F56" s="112" t="s">
        <v>153</v>
      </c>
      <c r="G56" s="112" t="s">
        <v>337</v>
      </c>
      <c r="H56" s="111"/>
      <c r="I56" s="78">
        <f>I57+I58+I59</f>
        <v>6536.1</v>
      </c>
      <c r="J56" s="78">
        <f>J57+J58+J59</f>
        <v>6536.1</v>
      </c>
      <c r="K56" s="348">
        <f t="shared" si="0"/>
        <v>0</v>
      </c>
      <c r="L56" s="78">
        <f>L57+L58+L59</f>
        <v>6536.1</v>
      </c>
      <c r="M56" s="78">
        <f>M57+M58+M59</f>
        <v>6536.1</v>
      </c>
    </row>
    <row r="57" spans="1:13" s="346" customFormat="1" ht="64.5" customHeight="1">
      <c r="A57" s="123" t="s">
        <v>755</v>
      </c>
      <c r="B57" s="347" t="s">
        <v>24</v>
      </c>
      <c r="C57" s="112" t="s">
        <v>49</v>
      </c>
      <c r="D57" s="112" t="s">
        <v>408</v>
      </c>
      <c r="E57" s="112" t="s">
        <v>139</v>
      </c>
      <c r="F57" s="112" t="s">
        <v>153</v>
      </c>
      <c r="G57" s="112" t="s">
        <v>337</v>
      </c>
      <c r="H57" s="111" t="s">
        <v>756</v>
      </c>
      <c r="I57" s="78">
        <v>6349.1</v>
      </c>
      <c r="J57" s="78">
        <v>6349.1</v>
      </c>
      <c r="K57" s="348">
        <f t="shared" si="0"/>
        <v>0</v>
      </c>
      <c r="L57" s="78">
        <v>6349.1</v>
      </c>
      <c r="M57" s="78">
        <v>6349.1</v>
      </c>
    </row>
    <row r="58" spans="1:13" s="346" customFormat="1" ht="33" customHeight="1">
      <c r="A58" s="123" t="s">
        <v>758</v>
      </c>
      <c r="B58" s="347" t="s">
        <v>24</v>
      </c>
      <c r="C58" s="112" t="s">
        <v>49</v>
      </c>
      <c r="D58" s="112" t="s">
        <v>408</v>
      </c>
      <c r="E58" s="112" t="s">
        <v>139</v>
      </c>
      <c r="F58" s="112" t="s">
        <v>153</v>
      </c>
      <c r="G58" s="112" t="s">
        <v>337</v>
      </c>
      <c r="H58" s="111" t="s">
        <v>757</v>
      </c>
      <c r="I58" s="78">
        <v>187</v>
      </c>
      <c r="J58" s="78">
        <v>187</v>
      </c>
      <c r="K58" s="348">
        <f t="shared" si="0"/>
        <v>0</v>
      </c>
      <c r="L58" s="78">
        <v>187</v>
      </c>
      <c r="M58" s="78">
        <v>187</v>
      </c>
    </row>
    <row r="59" spans="1:13" s="346" customFormat="1" ht="18.75" customHeight="1" hidden="1">
      <c r="A59" s="123" t="s">
        <v>759</v>
      </c>
      <c r="B59" s="347" t="s">
        <v>24</v>
      </c>
      <c r="C59" s="112" t="s">
        <v>49</v>
      </c>
      <c r="D59" s="112" t="s">
        <v>408</v>
      </c>
      <c r="E59" s="112" t="s">
        <v>139</v>
      </c>
      <c r="F59" s="112" t="s">
        <v>153</v>
      </c>
      <c r="G59" s="112" t="s">
        <v>337</v>
      </c>
      <c r="H59" s="111" t="s">
        <v>760</v>
      </c>
      <c r="I59" s="78"/>
      <c r="J59" s="351"/>
      <c r="K59" s="348">
        <f t="shared" si="0"/>
        <v>0</v>
      </c>
      <c r="L59" s="78"/>
      <c r="M59" s="78"/>
    </row>
    <row r="60" spans="1:13" s="346" customFormat="1" ht="17.25" customHeight="1">
      <c r="A60" s="123" t="s">
        <v>424</v>
      </c>
      <c r="B60" s="347">
        <v>110</v>
      </c>
      <c r="C60" s="112" t="s">
        <v>49</v>
      </c>
      <c r="D60" s="112" t="s">
        <v>408</v>
      </c>
      <c r="E60" s="112" t="s">
        <v>139</v>
      </c>
      <c r="F60" s="112" t="s">
        <v>153</v>
      </c>
      <c r="G60" s="112" t="s">
        <v>425</v>
      </c>
      <c r="H60" s="111"/>
      <c r="I60" s="78">
        <f>I61</f>
        <v>606.6</v>
      </c>
      <c r="J60" s="78">
        <f>J61</f>
        <v>606.6</v>
      </c>
      <c r="K60" s="348">
        <f t="shared" si="0"/>
        <v>0</v>
      </c>
      <c r="L60" s="78">
        <f>L61</f>
        <v>606.6</v>
      </c>
      <c r="M60" s="78">
        <f>M61</f>
        <v>606.6</v>
      </c>
    </row>
    <row r="61" spans="1:13" s="346" customFormat="1" ht="60.75" customHeight="1">
      <c r="A61" s="123" t="s">
        <v>755</v>
      </c>
      <c r="B61" s="347">
        <v>110</v>
      </c>
      <c r="C61" s="112" t="s">
        <v>49</v>
      </c>
      <c r="D61" s="112" t="s">
        <v>408</v>
      </c>
      <c r="E61" s="112" t="s">
        <v>139</v>
      </c>
      <c r="F61" s="112" t="s">
        <v>153</v>
      </c>
      <c r="G61" s="112" t="s">
        <v>425</v>
      </c>
      <c r="H61" s="111" t="s">
        <v>756</v>
      </c>
      <c r="I61" s="78">
        <v>606.6</v>
      </c>
      <c r="J61" s="78">
        <v>606.6</v>
      </c>
      <c r="K61" s="348">
        <f t="shared" si="0"/>
        <v>0</v>
      </c>
      <c r="L61" s="78">
        <v>606.6</v>
      </c>
      <c r="M61" s="78">
        <v>606.6</v>
      </c>
    </row>
    <row r="62" spans="1:13" s="346" customFormat="1" ht="31.5" customHeight="1">
      <c r="A62" s="123" t="s">
        <v>426</v>
      </c>
      <c r="B62" s="352" t="s">
        <v>24</v>
      </c>
      <c r="C62" s="112" t="s">
        <v>49</v>
      </c>
      <c r="D62" s="112" t="s">
        <v>408</v>
      </c>
      <c r="E62" s="112" t="s">
        <v>139</v>
      </c>
      <c r="F62" s="112" t="s">
        <v>153</v>
      </c>
      <c r="G62" s="112" t="s">
        <v>427</v>
      </c>
      <c r="H62" s="140"/>
      <c r="I62" s="353">
        <f>I63+I64</f>
        <v>550.4</v>
      </c>
      <c r="J62" s="353">
        <f>J63+J64</f>
        <v>550.4</v>
      </c>
      <c r="K62" s="348">
        <f t="shared" si="0"/>
        <v>0</v>
      </c>
      <c r="L62" s="353">
        <f>L63+L64</f>
        <v>550.4</v>
      </c>
      <c r="M62" s="353">
        <f>M63+M64</f>
        <v>550.4</v>
      </c>
    </row>
    <row r="63" spans="1:13" s="346" customFormat="1" ht="62.25" customHeight="1">
      <c r="A63" s="123" t="s">
        <v>755</v>
      </c>
      <c r="B63" s="347" t="s">
        <v>24</v>
      </c>
      <c r="C63" s="112" t="s">
        <v>49</v>
      </c>
      <c r="D63" s="112" t="s">
        <v>408</v>
      </c>
      <c r="E63" s="112" t="s">
        <v>139</v>
      </c>
      <c r="F63" s="112" t="s">
        <v>153</v>
      </c>
      <c r="G63" s="112" t="s">
        <v>427</v>
      </c>
      <c r="H63" s="129">
        <v>100</v>
      </c>
      <c r="I63" s="353">
        <v>501.3</v>
      </c>
      <c r="J63" s="353">
        <v>501.3</v>
      </c>
      <c r="K63" s="348">
        <f t="shared" si="0"/>
        <v>0</v>
      </c>
      <c r="L63" s="78">
        <v>501.3</v>
      </c>
      <c r="M63" s="78">
        <v>501.3</v>
      </c>
    </row>
    <row r="64" spans="1:13" s="346" customFormat="1" ht="31.5" customHeight="1">
      <c r="A64" s="123" t="s">
        <v>758</v>
      </c>
      <c r="B64" s="347" t="s">
        <v>24</v>
      </c>
      <c r="C64" s="112" t="s">
        <v>49</v>
      </c>
      <c r="D64" s="112" t="s">
        <v>408</v>
      </c>
      <c r="E64" s="112" t="s">
        <v>139</v>
      </c>
      <c r="F64" s="112" t="s">
        <v>153</v>
      </c>
      <c r="G64" s="112" t="s">
        <v>427</v>
      </c>
      <c r="H64" s="111" t="s">
        <v>757</v>
      </c>
      <c r="I64" s="78">
        <v>49.1</v>
      </c>
      <c r="J64" s="78">
        <v>49.1</v>
      </c>
      <c r="K64" s="348">
        <f t="shared" si="0"/>
        <v>0</v>
      </c>
      <c r="L64" s="78">
        <v>49.1</v>
      </c>
      <c r="M64" s="78">
        <v>49.1</v>
      </c>
    </row>
    <row r="65" spans="1:14" s="346" customFormat="1" ht="33" customHeight="1">
      <c r="A65" s="123" t="s">
        <v>430</v>
      </c>
      <c r="B65" s="352" t="s">
        <v>24</v>
      </c>
      <c r="C65" s="112" t="s">
        <v>49</v>
      </c>
      <c r="D65" s="112" t="s">
        <v>408</v>
      </c>
      <c r="E65" s="112" t="s">
        <v>139</v>
      </c>
      <c r="F65" s="112" t="s">
        <v>153</v>
      </c>
      <c r="G65" s="112" t="s">
        <v>431</v>
      </c>
      <c r="H65" s="143"/>
      <c r="I65" s="353">
        <f>I66+I67</f>
        <v>19244.5</v>
      </c>
      <c r="J65" s="353">
        <f>J66+J67</f>
        <v>19244.5</v>
      </c>
      <c r="K65" s="348">
        <f t="shared" si="0"/>
        <v>0</v>
      </c>
      <c r="L65" s="353">
        <f>L66+L67</f>
        <v>13029.9</v>
      </c>
      <c r="M65" s="353">
        <f>M66+M67</f>
        <v>12925.800000000001</v>
      </c>
      <c r="N65" s="354"/>
    </row>
    <row r="66" spans="1:13" s="346" customFormat="1" ht="63.75" customHeight="1">
      <c r="A66" s="123" t="s">
        <v>755</v>
      </c>
      <c r="B66" s="352" t="s">
        <v>24</v>
      </c>
      <c r="C66" s="112" t="s">
        <v>49</v>
      </c>
      <c r="D66" s="112" t="s">
        <v>408</v>
      </c>
      <c r="E66" s="112" t="s">
        <v>139</v>
      </c>
      <c r="F66" s="112" t="s">
        <v>153</v>
      </c>
      <c r="G66" s="112" t="s">
        <v>431</v>
      </c>
      <c r="H66" s="143">
        <v>100</v>
      </c>
      <c r="I66" s="353">
        <v>18565.3</v>
      </c>
      <c r="J66" s="353">
        <v>18565.3</v>
      </c>
      <c r="K66" s="348">
        <f t="shared" si="0"/>
        <v>0</v>
      </c>
      <c r="L66" s="78">
        <v>12576.4</v>
      </c>
      <c r="M66" s="78">
        <v>12491.2</v>
      </c>
    </row>
    <row r="67" spans="1:13" s="346" customFormat="1" ht="30" customHeight="1">
      <c r="A67" s="123" t="s">
        <v>758</v>
      </c>
      <c r="B67" s="352" t="s">
        <v>24</v>
      </c>
      <c r="C67" s="112" t="s">
        <v>49</v>
      </c>
      <c r="D67" s="112" t="s">
        <v>408</v>
      </c>
      <c r="E67" s="112" t="s">
        <v>139</v>
      </c>
      <c r="F67" s="112" t="s">
        <v>153</v>
      </c>
      <c r="G67" s="112" t="s">
        <v>431</v>
      </c>
      <c r="H67" s="143">
        <v>200</v>
      </c>
      <c r="I67" s="353">
        <v>679.2</v>
      </c>
      <c r="J67" s="353">
        <v>679.2</v>
      </c>
      <c r="K67" s="348">
        <f t="shared" si="0"/>
        <v>0</v>
      </c>
      <c r="L67" s="78">
        <v>453.5</v>
      </c>
      <c r="M67" s="78">
        <v>434.6</v>
      </c>
    </row>
    <row r="68" spans="1:13" s="346" customFormat="1" ht="17.25" customHeight="1">
      <c r="A68" s="139" t="s">
        <v>50</v>
      </c>
      <c r="B68" s="343" t="s">
        <v>24</v>
      </c>
      <c r="C68" s="107" t="s">
        <v>51</v>
      </c>
      <c r="D68" s="71"/>
      <c r="E68" s="71"/>
      <c r="F68" s="71"/>
      <c r="G68" s="71"/>
      <c r="H68" s="71"/>
      <c r="I68" s="37">
        <f aca="true" t="shared" si="6" ref="I68:M72">I69</f>
        <v>13.4</v>
      </c>
      <c r="J68" s="37">
        <f t="shared" si="6"/>
        <v>13.4</v>
      </c>
      <c r="K68" s="344">
        <f t="shared" si="0"/>
        <v>0</v>
      </c>
      <c r="L68" s="37">
        <f t="shared" si="6"/>
        <v>14</v>
      </c>
      <c r="M68" s="37">
        <f t="shared" si="6"/>
        <v>14.8</v>
      </c>
    </row>
    <row r="69" spans="1:13" s="346" customFormat="1" ht="18" customHeight="1">
      <c r="A69" s="139" t="s">
        <v>441</v>
      </c>
      <c r="B69" s="343" t="s">
        <v>24</v>
      </c>
      <c r="C69" s="107" t="s">
        <v>51</v>
      </c>
      <c r="D69" s="71" t="s">
        <v>442</v>
      </c>
      <c r="E69" s="71" t="s">
        <v>154</v>
      </c>
      <c r="F69" s="71" t="s">
        <v>155</v>
      </c>
      <c r="G69" s="71" t="s">
        <v>156</v>
      </c>
      <c r="H69" s="71"/>
      <c r="I69" s="37">
        <f t="shared" si="6"/>
        <v>13.4</v>
      </c>
      <c r="J69" s="37">
        <f t="shared" si="6"/>
        <v>13.4</v>
      </c>
      <c r="K69" s="344">
        <f t="shared" si="0"/>
        <v>0</v>
      </c>
      <c r="L69" s="37">
        <f t="shared" si="6"/>
        <v>14</v>
      </c>
      <c r="M69" s="37">
        <f t="shared" si="6"/>
        <v>14.8</v>
      </c>
    </row>
    <row r="70" spans="1:13" s="346" customFormat="1" ht="18" customHeight="1">
      <c r="A70" s="139" t="s">
        <v>410</v>
      </c>
      <c r="B70" s="343" t="s">
        <v>24</v>
      </c>
      <c r="C70" s="107" t="s">
        <v>51</v>
      </c>
      <c r="D70" s="71" t="s">
        <v>442</v>
      </c>
      <c r="E70" s="71" t="s">
        <v>338</v>
      </c>
      <c r="F70" s="71" t="s">
        <v>155</v>
      </c>
      <c r="G70" s="71" t="s">
        <v>156</v>
      </c>
      <c r="H70" s="71"/>
      <c r="I70" s="37">
        <f t="shared" si="6"/>
        <v>13.4</v>
      </c>
      <c r="J70" s="37">
        <f t="shared" si="6"/>
        <v>13.4</v>
      </c>
      <c r="K70" s="344">
        <f t="shared" si="0"/>
        <v>0</v>
      </c>
      <c r="L70" s="37">
        <f t="shared" si="6"/>
        <v>14</v>
      </c>
      <c r="M70" s="37">
        <f t="shared" si="6"/>
        <v>14.8</v>
      </c>
    </row>
    <row r="71" spans="1:13" s="345" customFormat="1" ht="15" customHeight="1">
      <c r="A71" s="136" t="s">
        <v>410</v>
      </c>
      <c r="B71" s="343" t="s">
        <v>24</v>
      </c>
      <c r="C71" s="107" t="s">
        <v>51</v>
      </c>
      <c r="D71" s="71" t="s">
        <v>442</v>
      </c>
      <c r="E71" s="71" t="s">
        <v>338</v>
      </c>
      <c r="F71" s="71" t="s">
        <v>153</v>
      </c>
      <c r="G71" s="71" t="s">
        <v>156</v>
      </c>
      <c r="H71" s="71"/>
      <c r="I71" s="37">
        <f t="shared" si="6"/>
        <v>13.4</v>
      </c>
      <c r="J71" s="37">
        <f t="shared" si="6"/>
        <v>13.4</v>
      </c>
      <c r="K71" s="344">
        <f t="shared" si="0"/>
        <v>0</v>
      </c>
      <c r="L71" s="37">
        <f t="shared" si="6"/>
        <v>14</v>
      </c>
      <c r="M71" s="37">
        <f t="shared" si="6"/>
        <v>14.8</v>
      </c>
    </row>
    <row r="72" spans="1:13" s="346" customFormat="1" ht="51.75" customHeight="1">
      <c r="A72" s="123" t="s">
        <v>474</v>
      </c>
      <c r="B72" s="352" t="s">
        <v>24</v>
      </c>
      <c r="C72" s="112" t="s">
        <v>51</v>
      </c>
      <c r="D72" s="112" t="s">
        <v>442</v>
      </c>
      <c r="E72" s="112" t="s">
        <v>338</v>
      </c>
      <c r="F72" s="111" t="s">
        <v>153</v>
      </c>
      <c r="G72" s="112" t="s">
        <v>475</v>
      </c>
      <c r="H72" s="143"/>
      <c r="I72" s="353">
        <f t="shared" si="6"/>
        <v>13.4</v>
      </c>
      <c r="J72" s="353">
        <f t="shared" si="6"/>
        <v>13.4</v>
      </c>
      <c r="K72" s="348">
        <f t="shared" si="0"/>
        <v>0</v>
      </c>
      <c r="L72" s="353">
        <f t="shared" si="6"/>
        <v>14</v>
      </c>
      <c r="M72" s="353">
        <f t="shared" si="6"/>
        <v>14.8</v>
      </c>
    </row>
    <row r="73" spans="1:13" s="346" customFormat="1" ht="35.25" customHeight="1">
      <c r="A73" s="123" t="s">
        <v>758</v>
      </c>
      <c r="B73" s="352" t="s">
        <v>24</v>
      </c>
      <c r="C73" s="112" t="s">
        <v>51</v>
      </c>
      <c r="D73" s="112" t="s">
        <v>442</v>
      </c>
      <c r="E73" s="112" t="s">
        <v>338</v>
      </c>
      <c r="F73" s="111" t="s">
        <v>153</v>
      </c>
      <c r="G73" s="112" t="s">
        <v>475</v>
      </c>
      <c r="H73" s="143">
        <v>200</v>
      </c>
      <c r="I73" s="353">
        <f>7.7+5.7</f>
        <v>13.4</v>
      </c>
      <c r="J73" s="353">
        <f>7.7+5.7</f>
        <v>13.4</v>
      </c>
      <c r="K73" s="348">
        <f t="shared" si="0"/>
        <v>0</v>
      </c>
      <c r="L73" s="78">
        <f>12.4+1.6</f>
        <v>14</v>
      </c>
      <c r="M73" s="78">
        <v>14.8</v>
      </c>
    </row>
    <row r="74" spans="1:13" s="346" customFormat="1" ht="21" customHeight="1">
      <c r="A74" s="139" t="s">
        <v>56</v>
      </c>
      <c r="B74" s="343" t="s">
        <v>24</v>
      </c>
      <c r="C74" s="107" t="s">
        <v>57</v>
      </c>
      <c r="D74" s="71"/>
      <c r="E74" s="71"/>
      <c r="F74" s="71"/>
      <c r="G74" s="71"/>
      <c r="H74" s="71"/>
      <c r="I74" s="37">
        <f>I75+I86+I110+I116</f>
        <v>12568.7</v>
      </c>
      <c r="J74" s="37">
        <f>J75+J86+J110+J116</f>
        <v>12619.1</v>
      </c>
      <c r="K74" s="344">
        <f t="shared" si="0"/>
        <v>50.399999999999636</v>
      </c>
      <c r="L74" s="37">
        <f>L75+L86+L110+L116</f>
        <v>12566.2</v>
      </c>
      <c r="M74" s="37">
        <f>M75+M86+M110+M116</f>
        <v>11428.3</v>
      </c>
    </row>
    <row r="75" spans="1:15" s="346" customFormat="1" ht="51" customHeight="1">
      <c r="A75" s="122" t="s">
        <v>340</v>
      </c>
      <c r="B75" s="343" t="s">
        <v>24</v>
      </c>
      <c r="C75" s="107" t="s">
        <v>57</v>
      </c>
      <c r="D75" s="71" t="s">
        <v>309</v>
      </c>
      <c r="E75" s="71" t="s">
        <v>154</v>
      </c>
      <c r="F75" s="71" t="s">
        <v>155</v>
      </c>
      <c r="G75" s="71" t="s">
        <v>156</v>
      </c>
      <c r="H75" s="71"/>
      <c r="I75" s="37">
        <f aca="true" t="shared" si="7" ref="I75:M76">I76</f>
        <v>500</v>
      </c>
      <c r="J75" s="37">
        <f t="shared" si="7"/>
        <v>500</v>
      </c>
      <c r="K75" s="344">
        <f t="shared" si="0"/>
        <v>0</v>
      </c>
      <c r="L75" s="37">
        <f t="shared" si="7"/>
        <v>580</v>
      </c>
      <c r="M75" s="37">
        <f t="shared" si="7"/>
        <v>620</v>
      </c>
      <c r="O75" s="354"/>
    </row>
    <row r="76" spans="1:13" s="346" customFormat="1" ht="31.5" customHeight="1">
      <c r="A76" s="109" t="s">
        <v>912</v>
      </c>
      <c r="B76" s="343" t="s">
        <v>24</v>
      </c>
      <c r="C76" s="107" t="s">
        <v>57</v>
      </c>
      <c r="D76" s="71" t="s">
        <v>309</v>
      </c>
      <c r="E76" s="71" t="s">
        <v>139</v>
      </c>
      <c r="F76" s="71" t="s">
        <v>155</v>
      </c>
      <c r="G76" s="71" t="s">
        <v>156</v>
      </c>
      <c r="H76" s="71"/>
      <c r="I76" s="37">
        <f t="shared" si="7"/>
        <v>500</v>
      </c>
      <c r="J76" s="37">
        <f t="shared" si="7"/>
        <v>500</v>
      </c>
      <c r="K76" s="344">
        <f t="shared" si="0"/>
        <v>0</v>
      </c>
      <c r="L76" s="37">
        <f t="shared" si="7"/>
        <v>580</v>
      </c>
      <c r="M76" s="37">
        <f t="shared" si="7"/>
        <v>620</v>
      </c>
    </row>
    <row r="77" spans="1:13" s="346" customFormat="1" ht="36" customHeight="1">
      <c r="A77" s="109" t="s">
        <v>913</v>
      </c>
      <c r="B77" s="343" t="s">
        <v>24</v>
      </c>
      <c r="C77" s="107" t="s">
        <v>57</v>
      </c>
      <c r="D77" s="71" t="s">
        <v>309</v>
      </c>
      <c r="E77" s="71" t="s">
        <v>139</v>
      </c>
      <c r="F77" s="71" t="s">
        <v>153</v>
      </c>
      <c r="G77" s="71" t="s">
        <v>156</v>
      </c>
      <c r="H77" s="71"/>
      <c r="I77" s="37">
        <f>I78+I80+I82+I84</f>
        <v>500</v>
      </c>
      <c r="J77" s="37">
        <f>J78+J80+J82+J84</f>
        <v>500</v>
      </c>
      <c r="K77" s="344">
        <f t="shared" si="0"/>
        <v>0</v>
      </c>
      <c r="L77" s="37">
        <f>L78+L80+L82+L84</f>
        <v>580</v>
      </c>
      <c r="M77" s="37">
        <f>M78+M80+M82+M84</f>
        <v>620</v>
      </c>
    </row>
    <row r="78" spans="1:13" s="346" customFormat="1" ht="33" customHeight="1">
      <c r="A78" s="114" t="s">
        <v>914</v>
      </c>
      <c r="B78" s="347" t="s">
        <v>24</v>
      </c>
      <c r="C78" s="112" t="s">
        <v>57</v>
      </c>
      <c r="D78" s="111" t="s">
        <v>309</v>
      </c>
      <c r="E78" s="111" t="s">
        <v>139</v>
      </c>
      <c r="F78" s="111" t="s">
        <v>153</v>
      </c>
      <c r="G78" s="112" t="s">
        <v>351</v>
      </c>
      <c r="H78" s="111"/>
      <c r="I78" s="78">
        <f>I79</f>
        <v>200</v>
      </c>
      <c r="J78" s="78">
        <f>J79</f>
        <v>200</v>
      </c>
      <c r="K78" s="348">
        <f t="shared" si="0"/>
        <v>0</v>
      </c>
      <c r="L78" s="78">
        <f>L79</f>
        <v>250</v>
      </c>
      <c r="M78" s="78">
        <f>M79</f>
        <v>250</v>
      </c>
    </row>
    <row r="79" spans="1:13" s="346" customFormat="1" ht="32.25" customHeight="1">
      <c r="A79" s="114" t="s">
        <v>758</v>
      </c>
      <c r="B79" s="347" t="s">
        <v>24</v>
      </c>
      <c r="C79" s="112" t="s">
        <v>57</v>
      </c>
      <c r="D79" s="111" t="s">
        <v>309</v>
      </c>
      <c r="E79" s="111" t="s">
        <v>139</v>
      </c>
      <c r="F79" s="111" t="s">
        <v>153</v>
      </c>
      <c r="G79" s="112" t="s">
        <v>351</v>
      </c>
      <c r="H79" s="111" t="s">
        <v>757</v>
      </c>
      <c r="I79" s="78">
        <v>200</v>
      </c>
      <c r="J79" s="78">
        <v>200</v>
      </c>
      <c r="K79" s="348">
        <f t="shared" si="0"/>
        <v>0</v>
      </c>
      <c r="L79" s="78">
        <v>250</v>
      </c>
      <c r="M79" s="78">
        <v>250</v>
      </c>
    </row>
    <row r="80" spans="1:13" s="346" customFormat="1" ht="50.25" customHeight="1">
      <c r="A80" s="114" t="s">
        <v>915</v>
      </c>
      <c r="B80" s="347" t="s">
        <v>24</v>
      </c>
      <c r="C80" s="112" t="s">
        <v>57</v>
      </c>
      <c r="D80" s="111" t="s">
        <v>309</v>
      </c>
      <c r="E80" s="111" t="s">
        <v>139</v>
      </c>
      <c r="F80" s="111" t="s">
        <v>153</v>
      </c>
      <c r="G80" s="112" t="s">
        <v>955</v>
      </c>
      <c r="H80" s="111"/>
      <c r="I80" s="78">
        <f>I81</f>
        <v>50</v>
      </c>
      <c r="J80" s="78">
        <f>J81</f>
        <v>50</v>
      </c>
      <c r="K80" s="348">
        <f aca="true" t="shared" si="8" ref="K80:K143">J80-I80</f>
        <v>0</v>
      </c>
      <c r="L80" s="78">
        <f>L81</f>
        <v>70</v>
      </c>
      <c r="M80" s="78">
        <f>M81</f>
        <v>100</v>
      </c>
    </row>
    <row r="81" spans="1:13" s="346" customFormat="1" ht="36.75" customHeight="1">
      <c r="A81" s="114" t="s">
        <v>758</v>
      </c>
      <c r="B81" s="347" t="s">
        <v>24</v>
      </c>
      <c r="C81" s="112" t="s">
        <v>57</v>
      </c>
      <c r="D81" s="111" t="s">
        <v>309</v>
      </c>
      <c r="E81" s="111" t="s">
        <v>139</v>
      </c>
      <c r="F81" s="111" t="s">
        <v>153</v>
      </c>
      <c r="G81" s="112" t="s">
        <v>955</v>
      </c>
      <c r="H81" s="111" t="s">
        <v>757</v>
      </c>
      <c r="I81" s="78">
        <v>50</v>
      </c>
      <c r="J81" s="78">
        <v>50</v>
      </c>
      <c r="K81" s="348">
        <f t="shared" si="8"/>
        <v>0</v>
      </c>
      <c r="L81" s="78">
        <v>70</v>
      </c>
      <c r="M81" s="78">
        <v>100</v>
      </c>
    </row>
    <row r="82" spans="1:13" s="346" customFormat="1" ht="33.75" customHeight="1">
      <c r="A82" s="114" t="s">
        <v>916</v>
      </c>
      <c r="B82" s="347" t="s">
        <v>24</v>
      </c>
      <c r="C82" s="112" t="s">
        <v>57</v>
      </c>
      <c r="D82" s="111" t="s">
        <v>309</v>
      </c>
      <c r="E82" s="111" t="s">
        <v>139</v>
      </c>
      <c r="F82" s="111" t="s">
        <v>153</v>
      </c>
      <c r="G82" s="112" t="s">
        <v>956</v>
      </c>
      <c r="H82" s="111"/>
      <c r="I82" s="78">
        <f>I83</f>
        <v>100</v>
      </c>
      <c r="J82" s="78">
        <f>J83</f>
        <v>100</v>
      </c>
      <c r="K82" s="348">
        <f t="shared" si="8"/>
        <v>0</v>
      </c>
      <c r="L82" s="78">
        <f>L83</f>
        <v>100</v>
      </c>
      <c r="M82" s="78">
        <f>M83</f>
        <v>100</v>
      </c>
    </row>
    <row r="83" spans="1:13" s="346" customFormat="1" ht="31.5" customHeight="1">
      <c r="A83" s="114" t="s">
        <v>758</v>
      </c>
      <c r="B83" s="347" t="s">
        <v>24</v>
      </c>
      <c r="C83" s="112" t="s">
        <v>57</v>
      </c>
      <c r="D83" s="111" t="s">
        <v>309</v>
      </c>
      <c r="E83" s="111" t="s">
        <v>139</v>
      </c>
      <c r="F83" s="111" t="s">
        <v>153</v>
      </c>
      <c r="G83" s="112" t="s">
        <v>956</v>
      </c>
      <c r="H83" s="111" t="s">
        <v>757</v>
      </c>
      <c r="I83" s="78">
        <f>200-200+100</f>
        <v>100</v>
      </c>
      <c r="J83" s="78">
        <f>200-200+100</f>
        <v>100</v>
      </c>
      <c r="K83" s="348">
        <f t="shared" si="8"/>
        <v>0</v>
      </c>
      <c r="L83" s="78">
        <f>250-250+100</f>
        <v>100</v>
      </c>
      <c r="M83" s="78">
        <f>250-250+100</f>
        <v>100</v>
      </c>
    </row>
    <row r="84" spans="1:13" s="346" customFormat="1" ht="33" customHeight="1">
      <c r="A84" s="114" t="s">
        <v>917</v>
      </c>
      <c r="B84" s="347" t="s">
        <v>24</v>
      </c>
      <c r="C84" s="112" t="s">
        <v>57</v>
      </c>
      <c r="D84" s="111" t="s">
        <v>309</v>
      </c>
      <c r="E84" s="111" t="s">
        <v>139</v>
      </c>
      <c r="F84" s="111" t="s">
        <v>153</v>
      </c>
      <c r="G84" s="112" t="s">
        <v>957</v>
      </c>
      <c r="H84" s="111"/>
      <c r="I84" s="78">
        <f>I85</f>
        <v>150</v>
      </c>
      <c r="J84" s="78">
        <f>J85</f>
        <v>150</v>
      </c>
      <c r="K84" s="348">
        <f t="shared" si="8"/>
        <v>0</v>
      </c>
      <c r="L84" s="78">
        <f>L85</f>
        <v>160</v>
      </c>
      <c r="M84" s="78">
        <f>M85</f>
        <v>170</v>
      </c>
    </row>
    <row r="85" spans="1:13" s="346" customFormat="1" ht="30.75" customHeight="1">
      <c r="A85" s="114" t="s">
        <v>758</v>
      </c>
      <c r="B85" s="347" t="s">
        <v>24</v>
      </c>
      <c r="C85" s="112" t="s">
        <v>57</v>
      </c>
      <c r="D85" s="111" t="s">
        <v>309</v>
      </c>
      <c r="E85" s="111" t="s">
        <v>139</v>
      </c>
      <c r="F85" s="111" t="s">
        <v>153</v>
      </c>
      <c r="G85" s="112" t="s">
        <v>957</v>
      </c>
      <c r="H85" s="111" t="s">
        <v>757</v>
      </c>
      <c r="I85" s="78">
        <v>150</v>
      </c>
      <c r="J85" s="78">
        <v>150</v>
      </c>
      <c r="K85" s="348">
        <f t="shared" si="8"/>
        <v>0</v>
      </c>
      <c r="L85" s="78">
        <v>160</v>
      </c>
      <c r="M85" s="78">
        <v>170</v>
      </c>
    </row>
    <row r="86" spans="1:13" s="345" customFormat="1" ht="50.25" customHeight="1">
      <c r="A86" s="128" t="s">
        <v>918</v>
      </c>
      <c r="B86" s="343">
        <v>110</v>
      </c>
      <c r="C86" s="107" t="s">
        <v>57</v>
      </c>
      <c r="D86" s="71" t="s">
        <v>354</v>
      </c>
      <c r="E86" s="71" t="s">
        <v>154</v>
      </c>
      <c r="F86" s="71" t="s">
        <v>155</v>
      </c>
      <c r="G86" s="107" t="s">
        <v>156</v>
      </c>
      <c r="H86" s="71"/>
      <c r="I86" s="37">
        <f>I87+I100+I104</f>
        <v>2583</v>
      </c>
      <c r="J86" s="37">
        <f>J87+J100+J104</f>
        <v>2583</v>
      </c>
      <c r="K86" s="344">
        <f t="shared" si="8"/>
        <v>0</v>
      </c>
      <c r="L86" s="37">
        <f>L87+L100+L104</f>
        <v>4391.799999999999</v>
      </c>
      <c r="M86" s="37">
        <f>M87+M100+M104</f>
        <v>4558.099999999999</v>
      </c>
    </row>
    <row r="87" spans="1:13" s="346" customFormat="1" ht="18.75" customHeight="1">
      <c r="A87" s="136" t="s">
        <v>388</v>
      </c>
      <c r="B87" s="343" t="s">
        <v>24</v>
      </c>
      <c r="C87" s="107" t="s">
        <v>57</v>
      </c>
      <c r="D87" s="71" t="s">
        <v>354</v>
      </c>
      <c r="E87" s="71" t="s">
        <v>136</v>
      </c>
      <c r="F87" s="71" t="s">
        <v>155</v>
      </c>
      <c r="G87" s="71" t="s">
        <v>156</v>
      </c>
      <c r="H87" s="71"/>
      <c r="I87" s="37">
        <f>I88+I97</f>
        <v>1010.9</v>
      </c>
      <c r="J87" s="37">
        <f>J88+J97</f>
        <v>1010.9</v>
      </c>
      <c r="K87" s="344">
        <f t="shared" si="8"/>
        <v>0</v>
      </c>
      <c r="L87" s="37">
        <f>L88+L97</f>
        <v>2804.5</v>
      </c>
      <c r="M87" s="37">
        <f>M88+M97</f>
        <v>2845.2</v>
      </c>
    </row>
    <row r="88" spans="1:13" s="345" customFormat="1" ht="51" customHeight="1">
      <c r="A88" s="137" t="s">
        <v>389</v>
      </c>
      <c r="B88" s="343" t="s">
        <v>24</v>
      </c>
      <c r="C88" s="107" t="s">
        <v>57</v>
      </c>
      <c r="D88" s="71" t="s">
        <v>354</v>
      </c>
      <c r="E88" s="71" t="s">
        <v>136</v>
      </c>
      <c r="F88" s="71" t="s">
        <v>153</v>
      </c>
      <c r="G88" s="71" t="s">
        <v>156</v>
      </c>
      <c r="H88" s="71"/>
      <c r="I88" s="37">
        <f>I89+I91+I93+I95</f>
        <v>874.9</v>
      </c>
      <c r="J88" s="37">
        <f>J89+J91+J93+J95</f>
        <v>874.9</v>
      </c>
      <c r="K88" s="344">
        <f t="shared" si="8"/>
        <v>0</v>
      </c>
      <c r="L88" s="37">
        <f>L89+L91+L93+L95</f>
        <v>2668.5</v>
      </c>
      <c r="M88" s="37">
        <f>M89+M91+M93+M95</f>
        <v>2709.2</v>
      </c>
    </row>
    <row r="89" spans="1:13" s="346" customFormat="1" ht="73.5" customHeight="1">
      <c r="A89" s="127" t="s">
        <v>390</v>
      </c>
      <c r="B89" s="347" t="s">
        <v>24</v>
      </c>
      <c r="C89" s="112" t="s">
        <v>57</v>
      </c>
      <c r="D89" s="111" t="s">
        <v>354</v>
      </c>
      <c r="E89" s="111" t="s">
        <v>136</v>
      </c>
      <c r="F89" s="111" t="s">
        <v>153</v>
      </c>
      <c r="G89" s="111" t="s">
        <v>391</v>
      </c>
      <c r="H89" s="111"/>
      <c r="I89" s="78">
        <f>I90</f>
        <v>100</v>
      </c>
      <c r="J89" s="78">
        <f>J90</f>
        <v>100</v>
      </c>
      <c r="K89" s="348">
        <f t="shared" si="8"/>
        <v>0</v>
      </c>
      <c r="L89" s="78">
        <f>L90</f>
        <v>1878.7</v>
      </c>
      <c r="M89" s="78">
        <f>M90</f>
        <v>1878.7</v>
      </c>
    </row>
    <row r="90" spans="1:13" s="346" customFormat="1" ht="31.5" customHeight="1">
      <c r="A90" s="123" t="s">
        <v>758</v>
      </c>
      <c r="B90" s="347" t="s">
        <v>24</v>
      </c>
      <c r="C90" s="112" t="s">
        <v>57</v>
      </c>
      <c r="D90" s="111" t="s">
        <v>354</v>
      </c>
      <c r="E90" s="111" t="s">
        <v>136</v>
      </c>
      <c r="F90" s="111" t="s">
        <v>153</v>
      </c>
      <c r="G90" s="111" t="s">
        <v>391</v>
      </c>
      <c r="H90" s="111" t="s">
        <v>757</v>
      </c>
      <c r="I90" s="78">
        <f>1153.1-1053.1</f>
        <v>100</v>
      </c>
      <c r="J90" s="78">
        <f>1153.1-1053.1</f>
        <v>100</v>
      </c>
      <c r="K90" s="348">
        <f t="shared" si="8"/>
        <v>0</v>
      </c>
      <c r="L90" s="78">
        <v>1878.7</v>
      </c>
      <c r="M90" s="78">
        <v>1878.7</v>
      </c>
    </row>
    <row r="91" spans="1:13" s="346" customFormat="1" ht="31.5" customHeight="1">
      <c r="A91" s="127" t="s">
        <v>392</v>
      </c>
      <c r="B91" s="347" t="s">
        <v>24</v>
      </c>
      <c r="C91" s="112" t="s">
        <v>57</v>
      </c>
      <c r="D91" s="111" t="s">
        <v>354</v>
      </c>
      <c r="E91" s="111" t="s">
        <v>136</v>
      </c>
      <c r="F91" s="111" t="s">
        <v>153</v>
      </c>
      <c r="G91" s="111" t="s">
        <v>393</v>
      </c>
      <c r="H91" s="111"/>
      <c r="I91" s="78">
        <f>I92</f>
        <v>124</v>
      </c>
      <c r="J91" s="78">
        <f>J92</f>
        <v>124</v>
      </c>
      <c r="K91" s="348">
        <f t="shared" si="8"/>
        <v>0</v>
      </c>
      <c r="L91" s="78">
        <f>L92</f>
        <v>124</v>
      </c>
      <c r="M91" s="78">
        <f>M92</f>
        <v>124</v>
      </c>
    </row>
    <row r="92" spans="1:13" s="346" customFormat="1" ht="35.25" customHeight="1">
      <c r="A92" s="123" t="s">
        <v>758</v>
      </c>
      <c r="B92" s="347" t="s">
        <v>24</v>
      </c>
      <c r="C92" s="112" t="s">
        <v>57</v>
      </c>
      <c r="D92" s="111" t="s">
        <v>354</v>
      </c>
      <c r="E92" s="111" t="s">
        <v>136</v>
      </c>
      <c r="F92" s="111" t="s">
        <v>153</v>
      </c>
      <c r="G92" s="111" t="s">
        <v>393</v>
      </c>
      <c r="H92" s="111" t="s">
        <v>757</v>
      </c>
      <c r="I92" s="78">
        <v>124</v>
      </c>
      <c r="J92" s="78">
        <v>124</v>
      </c>
      <c r="K92" s="348">
        <f t="shared" si="8"/>
        <v>0</v>
      </c>
      <c r="L92" s="78">
        <v>124</v>
      </c>
      <c r="M92" s="78">
        <v>124</v>
      </c>
    </row>
    <row r="93" spans="1:13" s="346" customFormat="1" ht="45.75" customHeight="1">
      <c r="A93" s="127" t="s">
        <v>962</v>
      </c>
      <c r="B93" s="347" t="s">
        <v>24</v>
      </c>
      <c r="C93" s="112" t="s">
        <v>57</v>
      </c>
      <c r="D93" s="111" t="s">
        <v>354</v>
      </c>
      <c r="E93" s="111" t="s">
        <v>136</v>
      </c>
      <c r="F93" s="111" t="s">
        <v>153</v>
      </c>
      <c r="G93" s="111" t="s">
        <v>394</v>
      </c>
      <c r="H93" s="111"/>
      <c r="I93" s="78">
        <f>I94</f>
        <v>6.5</v>
      </c>
      <c r="J93" s="78">
        <f>J94</f>
        <v>6.5</v>
      </c>
      <c r="K93" s="348">
        <f t="shared" si="8"/>
        <v>0</v>
      </c>
      <c r="L93" s="78">
        <f>L94</f>
        <v>6.5</v>
      </c>
      <c r="M93" s="78">
        <f>M94</f>
        <v>6.5</v>
      </c>
    </row>
    <row r="94" spans="1:13" s="346" customFormat="1" ht="32.25" customHeight="1">
      <c r="A94" s="123" t="s">
        <v>758</v>
      </c>
      <c r="B94" s="347" t="s">
        <v>24</v>
      </c>
      <c r="C94" s="112" t="s">
        <v>57</v>
      </c>
      <c r="D94" s="111" t="s">
        <v>354</v>
      </c>
      <c r="E94" s="111" t="s">
        <v>136</v>
      </c>
      <c r="F94" s="111" t="s">
        <v>153</v>
      </c>
      <c r="G94" s="111" t="s">
        <v>394</v>
      </c>
      <c r="H94" s="111" t="s">
        <v>757</v>
      </c>
      <c r="I94" s="78">
        <v>6.5</v>
      </c>
      <c r="J94" s="78">
        <v>6.5</v>
      </c>
      <c r="K94" s="348">
        <f t="shared" si="8"/>
        <v>0</v>
      </c>
      <c r="L94" s="78">
        <v>6.5</v>
      </c>
      <c r="M94" s="78">
        <v>6.5</v>
      </c>
    </row>
    <row r="95" spans="1:13" s="346" customFormat="1" ht="35.25" customHeight="1">
      <c r="A95" s="127" t="s">
        <v>395</v>
      </c>
      <c r="B95" s="347" t="s">
        <v>24</v>
      </c>
      <c r="C95" s="112" t="s">
        <v>57</v>
      </c>
      <c r="D95" s="111" t="s">
        <v>354</v>
      </c>
      <c r="E95" s="111" t="s">
        <v>136</v>
      </c>
      <c r="F95" s="111" t="s">
        <v>153</v>
      </c>
      <c r="G95" s="111" t="s">
        <v>396</v>
      </c>
      <c r="H95" s="111"/>
      <c r="I95" s="78">
        <f>I96</f>
        <v>644.4</v>
      </c>
      <c r="J95" s="78">
        <f>J96</f>
        <v>644.4</v>
      </c>
      <c r="K95" s="348">
        <f t="shared" si="8"/>
        <v>0</v>
      </c>
      <c r="L95" s="78">
        <f>L96</f>
        <v>659.3</v>
      </c>
      <c r="M95" s="78">
        <f>M96</f>
        <v>700</v>
      </c>
    </row>
    <row r="96" spans="1:15" s="346" customFormat="1" ht="33.75" customHeight="1">
      <c r="A96" s="123" t="s">
        <v>758</v>
      </c>
      <c r="B96" s="347" t="s">
        <v>24</v>
      </c>
      <c r="C96" s="112" t="s">
        <v>57</v>
      </c>
      <c r="D96" s="111" t="s">
        <v>354</v>
      </c>
      <c r="E96" s="111" t="s">
        <v>136</v>
      </c>
      <c r="F96" s="111" t="s">
        <v>153</v>
      </c>
      <c r="G96" s="111" t="s">
        <v>396</v>
      </c>
      <c r="H96" s="111" t="s">
        <v>757</v>
      </c>
      <c r="I96" s="78">
        <v>644.4</v>
      </c>
      <c r="J96" s="78">
        <v>644.4</v>
      </c>
      <c r="K96" s="348">
        <f t="shared" si="8"/>
        <v>0</v>
      </c>
      <c r="L96" s="78">
        <v>659.3</v>
      </c>
      <c r="M96" s="78">
        <v>700</v>
      </c>
      <c r="N96" s="345"/>
      <c r="O96" s="345"/>
    </row>
    <row r="97" spans="1:13" s="345" customFormat="1" ht="31.5" customHeight="1">
      <c r="A97" s="128" t="s">
        <v>919</v>
      </c>
      <c r="B97" s="343">
        <v>110</v>
      </c>
      <c r="C97" s="107" t="s">
        <v>57</v>
      </c>
      <c r="D97" s="71" t="s">
        <v>354</v>
      </c>
      <c r="E97" s="71" t="s">
        <v>136</v>
      </c>
      <c r="F97" s="71" t="s">
        <v>166</v>
      </c>
      <c r="G97" s="71" t="s">
        <v>156</v>
      </c>
      <c r="H97" s="71"/>
      <c r="I97" s="37">
        <f aca="true" t="shared" si="9" ref="I97:M98">I98</f>
        <v>136</v>
      </c>
      <c r="J97" s="37">
        <f t="shared" si="9"/>
        <v>136</v>
      </c>
      <c r="K97" s="344">
        <f t="shared" si="8"/>
        <v>0</v>
      </c>
      <c r="L97" s="37">
        <f t="shared" si="9"/>
        <v>136</v>
      </c>
      <c r="M97" s="37">
        <f t="shared" si="9"/>
        <v>136</v>
      </c>
    </row>
    <row r="98" spans="1:15" s="346" customFormat="1" ht="33.75" customHeight="1">
      <c r="A98" s="114" t="s">
        <v>387</v>
      </c>
      <c r="B98" s="347">
        <v>110</v>
      </c>
      <c r="C98" s="112" t="s">
        <v>57</v>
      </c>
      <c r="D98" s="111" t="s">
        <v>354</v>
      </c>
      <c r="E98" s="111" t="s">
        <v>136</v>
      </c>
      <c r="F98" s="111" t="s">
        <v>166</v>
      </c>
      <c r="G98" s="111" t="s">
        <v>869</v>
      </c>
      <c r="H98" s="111"/>
      <c r="I98" s="78">
        <f t="shared" si="9"/>
        <v>136</v>
      </c>
      <c r="J98" s="78">
        <f t="shared" si="9"/>
        <v>136</v>
      </c>
      <c r="K98" s="348">
        <f t="shared" si="8"/>
        <v>0</v>
      </c>
      <c r="L98" s="78">
        <f t="shared" si="9"/>
        <v>136</v>
      </c>
      <c r="M98" s="78">
        <f t="shared" si="9"/>
        <v>136</v>
      </c>
      <c r="N98" s="345"/>
      <c r="O98" s="345"/>
    </row>
    <row r="99" spans="1:13" s="346" customFormat="1" ht="34.5" customHeight="1">
      <c r="A99" s="114" t="s">
        <v>758</v>
      </c>
      <c r="B99" s="347">
        <v>110</v>
      </c>
      <c r="C99" s="112" t="s">
        <v>57</v>
      </c>
      <c r="D99" s="111" t="s">
        <v>354</v>
      </c>
      <c r="E99" s="111" t="s">
        <v>136</v>
      </c>
      <c r="F99" s="111" t="s">
        <v>166</v>
      </c>
      <c r="G99" s="111" t="s">
        <v>869</v>
      </c>
      <c r="H99" s="111" t="s">
        <v>757</v>
      </c>
      <c r="I99" s="78">
        <f>27+109</f>
        <v>136</v>
      </c>
      <c r="J99" s="78">
        <f>27+109</f>
        <v>136</v>
      </c>
      <c r="K99" s="348">
        <f t="shared" si="8"/>
        <v>0</v>
      </c>
      <c r="L99" s="78">
        <f>27+109</f>
        <v>136</v>
      </c>
      <c r="M99" s="78">
        <f>27+109</f>
        <v>136</v>
      </c>
    </row>
    <row r="100" spans="1:15" s="355" customFormat="1" ht="51" customHeight="1">
      <c r="A100" s="128" t="s">
        <v>920</v>
      </c>
      <c r="B100" s="343" t="s">
        <v>24</v>
      </c>
      <c r="C100" s="107" t="s">
        <v>57</v>
      </c>
      <c r="D100" s="71" t="s">
        <v>354</v>
      </c>
      <c r="E100" s="71" t="s">
        <v>137</v>
      </c>
      <c r="F100" s="71" t="s">
        <v>155</v>
      </c>
      <c r="G100" s="71" t="s">
        <v>156</v>
      </c>
      <c r="H100" s="71"/>
      <c r="I100" s="37">
        <f aca="true" t="shared" si="10" ref="I100:M102">I101</f>
        <v>51.7</v>
      </c>
      <c r="J100" s="37">
        <f t="shared" si="10"/>
        <v>51.7</v>
      </c>
      <c r="K100" s="344">
        <f t="shared" si="8"/>
        <v>0</v>
      </c>
      <c r="L100" s="37">
        <f t="shared" si="10"/>
        <v>51.7</v>
      </c>
      <c r="M100" s="37">
        <f t="shared" si="10"/>
        <v>51.7</v>
      </c>
      <c r="N100" s="327"/>
      <c r="O100" s="327"/>
    </row>
    <row r="101" spans="1:13" s="355" customFormat="1" ht="36" customHeight="1">
      <c r="A101" s="128" t="s">
        <v>921</v>
      </c>
      <c r="B101" s="343" t="s">
        <v>24</v>
      </c>
      <c r="C101" s="107" t="s">
        <v>57</v>
      </c>
      <c r="D101" s="71" t="s">
        <v>354</v>
      </c>
      <c r="E101" s="71" t="s">
        <v>137</v>
      </c>
      <c r="F101" s="71" t="s">
        <v>153</v>
      </c>
      <c r="G101" s="71" t="s">
        <v>156</v>
      </c>
      <c r="H101" s="71"/>
      <c r="I101" s="37">
        <f t="shared" si="10"/>
        <v>51.7</v>
      </c>
      <c r="J101" s="37">
        <f t="shared" si="10"/>
        <v>51.7</v>
      </c>
      <c r="K101" s="344">
        <f t="shared" si="8"/>
        <v>0</v>
      </c>
      <c r="L101" s="37">
        <f t="shared" si="10"/>
        <v>51.7</v>
      </c>
      <c r="M101" s="37">
        <f t="shared" si="10"/>
        <v>51.7</v>
      </c>
    </row>
    <row r="102" spans="1:13" ht="36" customHeight="1">
      <c r="A102" s="127" t="s">
        <v>346</v>
      </c>
      <c r="B102" s="347" t="s">
        <v>24</v>
      </c>
      <c r="C102" s="112" t="s">
        <v>57</v>
      </c>
      <c r="D102" s="111" t="s">
        <v>354</v>
      </c>
      <c r="E102" s="111" t="s">
        <v>137</v>
      </c>
      <c r="F102" s="111" t="s">
        <v>153</v>
      </c>
      <c r="G102" s="111" t="s">
        <v>347</v>
      </c>
      <c r="H102" s="111"/>
      <c r="I102" s="78">
        <f t="shared" si="10"/>
        <v>51.7</v>
      </c>
      <c r="J102" s="78">
        <f t="shared" si="10"/>
        <v>51.7</v>
      </c>
      <c r="K102" s="348">
        <f t="shared" si="8"/>
        <v>0</v>
      </c>
      <c r="L102" s="78">
        <f t="shared" si="10"/>
        <v>51.7</v>
      </c>
      <c r="M102" s="78">
        <f t="shared" si="10"/>
        <v>51.7</v>
      </c>
    </row>
    <row r="103" spans="1:13" ht="33" customHeight="1">
      <c r="A103" s="123" t="s">
        <v>758</v>
      </c>
      <c r="B103" s="347" t="s">
        <v>24</v>
      </c>
      <c r="C103" s="112" t="s">
        <v>57</v>
      </c>
      <c r="D103" s="111" t="s">
        <v>354</v>
      </c>
      <c r="E103" s="111" t="s">
        <v>137</v>
      </c>
      <c r="F103" s="111" t="s">
        <v>153</v>
      </c>
      <c r="G103" s="111" t="s">
        <v>347</v>
      </c>
      <c r="H103" s="111" t="s">
        <v>757</v>
      </c>
      <c r="I103" s="78">
        <v>51.7</v>
      </c>
      <c r="J103" s="78">
        <v>51.7</v>
      </c>
      <c r="K103" s="348">
        <f t="shared" si="8"/>
        <v>0</v>
      </c>
      <c r="L103" s="78">
        <v>51.7</v>
      </c>
      <c r="M103" s="78">
        <v>51.7</v>
      </c>
    </row>
    <row r="104" spans="1:15" s="346" customFormat="1" ht="33" customHeight="1">
      <c r="A104" s="136" t="s">
        <v>503</v>
      </c>
      <c r="B104" s="343" t="s">
        <v>24</v>
      </c>
      <c r="C104" s="107" t="s">
        <v>57</v>
      </c>
      <c r="D104" s="71" t="s">
        <v>354</v>
      </c>
      <c r="E104" s="71" t="s">
        <v>139</v>
      </c>
      <c r="F104" s="71" t="s">
        <v>155</v>
      </c>
      <c r="G104" s="71" t="s">
        <v>156</v>
      </c>
      <c r="H104" s="71"/>
      <c r="I104" s="37">
        <f>I105</f>
        <v>1520.4</v>
      </c>
      <c r="J104" s="37">
        <f>J105</f>
        <v>1520.4</v>
      </c>
      <c r="K104" s="344">
        <f t="shared" si="8"/>
        <v>0</v>
      </c>
      <c r="L104" s="37">
        <f>L105</f>
        <v>1535.6</v>
      </c>
      <c r="M104" s="37">
        <f>M105</f>
        <v>1661.2</v>
      </c>
      <c r="N104" s="345"/>
      <c r="O104" s="345"/>
    </row>
    <row r="105" spans="1:13" s="345" customFormat="1" ht="51" customHeight="1">
      <c r="A105" s="137" t="s">
        <v>922</v>
      </c>
      <c r="B105" s="343" t="s">
        <v>24</v>
      </c>
      <c r="C105" s="107" t="s">
        <v>57</v>
      </c>
      <c r="D105" s="71" t="s">
        <v>354</v>
      </c>
      <c r="E105" s="71" t="s">
        <v>139</v>
      </c>
      <c r="F105" s="71" t="s">
        <v>153</v>
      </c>
      <c r="G105" s="71" t="s">
        <v>156</v>
      </c>
      <c r="H105" s="71"/>
      <c r="I105" s="37">
        <f>I106+I108</f>
        <v>1520.4</v>
      </c>
      <c r="J105" s="37">
        <f>J106+J108</f>
        <v>1520.4</v>
      </c>
      <c r="K105" s="344">
        <f t="shared" si="8"/>
        <v>0</v>
      </c>
      <c r="L105" s="37">
        <f>L106+L108</f>
        <v>1535.6</v>
      </c>
      <c r="M105" s="37">
        <f>M106+M108</f>
        <v>1661.2</v>
      </c>
    </row>
    <row r="106" spans="1:15" s="345" customFormat="1" ht="36" customHeight="1">
      <c r="A106" s="119" t="s">
        <v>778</v>
      </c>
      <c r="B106" s="347" t="s">
        <v>24</v>
      </c>
      <c r="C106" s="112" t="s">
        <v>57</v>
      </c>
      <c r="D106" s="111" t="s">
        <v>354</v>
      </c>
      <c r="E106" s="111" t="s">
        <v>139</v>
      </c>
      <c r="F106" s="111" t="s">
        <v>153</v>
      </c>
      <c r="G106" s="111" t="s">
        <v>404</v>
      </c>
      <c r="H106" s="111"/>
      <c r="I106" s="78">
        <f>I107</f>
        <v>659.2</v>
      </c>
      <c r="J106" s="78">
        <f>J107</f>
        <v>659.2</v>
      </c>
      <c r="K106" s="348">
        <f t="shared" si="8"/>
        <v>0</v>
      </c>
      <c r="L106" s="78">
        <f>L107</f>
        <v>674.4</v>
      </c>
      <c r="M106" s="78">
        <f>M107</f>
        <v>800</v>
      </c>
      <c r="N106" s="346"/>
      <c r="O106" s="346"/>
    </row>
    <row r="107" spans="1:13" s="346" customFormat="1" ht="32.25" customHeight="1">
      <c r="A107" s="127" t="s">
        <v>763</v>
      </c>
      <c r="B107" s="347" t="s">
        <v>24</v>
      </c>
      <c r="C107" s="112" t="s">
        <v>57</v>
      </c>
      <c r="D107" s="111" t="s">
        <v>354</v>
      </c>
      <c r="E107" s="111" t="s">
        <v>139</v>
      </c>
      <c r="F107" s="111" t="s">
        <v>153</v>
      </c>
      <c r="G107" s="111" t="s">
        <v>404</v>
      </c>
      <c r="H107" s="111" t="s">
        <v>764</v>
      </c>
      <c r="I107" s="78">
        <v>659.2</v>
      </c>
      <c r="J107" s="78">
        <v>659.2</v>
      </c>
      <c r="K107" s="348">
        <f t="shared" si="8"/>
        <v>0</v>
      </c>
      <c r="L107" s="78">
        <v>674.4</v>
      </c>
      <c r="M107" s="78">
        <v>800</v>
      </c>
    </row>
    <row r="108" spans="1:13" s="346" customFormat="1" ht="46.5" customHeight="1">
      <c r="A108" s="127" t="s">
        <v>405</v>
      </c>
      <c r="B108" s="347" t="s">
        <v>24</v>
      </c>
      <c r="C108" s="112" t="s">
        <v>57</v>
      </c>
      <c r="D108" s="111" t="s">
        <v>354</v>
      </c>
      <c r="E108" s="111" t="s">
        <v>139</v>
      </c>
      <c r="F108" s="111" t="s">
        <v>153</v>
      </c>
      <c r="G108" s="111" t="s">
        <v>406</v>
      </c>
      <c r="H108" s="111"/>
      <c r="I108" s="78">
        <f>I109</f>
        <v>861.2</v>
      </c>
      <c r="J108" s="78">
        <f>J109</f>
        <v>861.2</v>
      </c>
      <c r="K108" s="348">
        <f t="shared" si="8"/>
        <v>0</v>
      </c>
      <c r="L108" s="78">
        <f>L109</f>
        <v>861.2</v>
      </c>
      <c r="M108" s="78">
        <f>M109</f>
        <v>861.2</v>
      </c>
    </row>
    <row r="109" spans="1:13" s="346" customFormat="1" ht="28.5" customHeight="1">
      <c r="A109" s="127" t="s">
        <v>763</v>
      </c>
      <c r="B109" s="347" t="s">
        <v>24</v>
      </c>
      <c r="C109" s="112" t="s">
        <v>57</v>
      </c>
      <c r="D109" s="111" t="s">
        <v>354</v>
      </c>
      <c r="E109" s="111" t="s">
        <v>139</v>
      </c>
      <c r="F109" s="111" t="s">
        <v>153</v>
      </c>
      <c r="G109" s="111" t="s">
        <v>406</v>
      </c>
      <c r="H109" s="111" t="s">
        <v>764</v>
      </c>
      <c r="I109" s="78">
        <v>861.2</v>
      </c>
      <c r="J109" s="78">
        <v>861.2</v>
      </c>
      <c r="K109" s="348">
        <f t="shared" si="8"/>
        <v>0</v>
      </c>
      <c r="L109" s="78">
        <v>861.2</v>
      </c>
      <c r="M109" s="78">
        <v>861.2</v>
      </c>
    </row>
    <row r="110" spans="1:13" s="346" customFormat="1" ht="33.75" customHeight="1">
      <c r="A110" s="139" t="s">
        <v>407</v>
      </c>
      <c r="B110" s="343" t="s">
        <v>24</v>
      </c>
      <c r="C110" s="107" t="s">
        <v>57</v>
      </c>
      <c r="D110" s="107" t="s">
        <v>408</v>
      </c>
      <c r="E110" s="107" t="s">
        <v>154</v>
      </c>
      <c r="F110" s="107" t="s">
        <v>155</v>
      </c>
      <c r="G110" s="107" t="s">
        <v>156</v>
      </c>
      <c r="H110" s="111"/>
      <c r="I110" s="37">
        <f aca="true" t="shared" si="11" ref="I110:M112">I111</f>
        <v>6622.6</v>
      </c>
      <c r="J110" s="37">
        <f t="shared" si="11"/>
        <v>6673</v>
      </c>
      <c r="K110" s="344">
        <f t="shared" si="8"/>
        <v>50.399999999999636</v>
      </c>
      <c r="L110" s="37">
        <f t="shared" si="11"/>
        <v>6073.2</v>
      </c>
      <c r="M110" s="37">
        <f t="shared" si="11"/>
        <v>4669</v>
      </c>
    </row>
    <row r="111" spans="1:13" s="346" customFormat="1" ht="30.75" customHeight="1">
      <c r="A111" s="136" t="s">
        <v>508</v>
      </c>
      <c r="B111" s="343" t="s">
        <v>24</v>
      </c>
      <c r="C111" s="107" t="s">
        <v>57</v>
      </c>
      <c r="D111" s="71" t="s">
        <v>408</v>
      </c>
      <c r="E111" s="71" t="s">
        <v>139</v>
      </c>
      <c r="F111" s="71" t="s">
        <v>155</v>
      </c>
      <c r="G111" s="71" t="s">
        <v>156</v>
      </c>
      <c r="H111" s="111"/>
      <c r="I111" s="37">
        <f t="shared" si="11"/>
        <v>6622.6</v>
      </c>
      <c r="J111" s="37">
        <f t="shared" si="11"/>
        <v>6673</v>
      </c>
      <c r="K111" s="344">
        <f t="shared" si="8"/>
        <v>50.399999999999636</v>
      </c>
      <c r="L111" s="37">
        <f t="shared" si="11"/>
        <v>6073.2</v>
      </c>
      <c r="M111" s="37">
        <f t="shared" si="11"/>
        <v>4669</v>
      </c>
    </row>
    <row r="112" spans="1:13" s="345" customFormat="1" ht="18.75" customHeight="1">
      <c r="A112" s="137" t="s">
        <v>410</v>
      </c>
      <c r="B112" s="343" t="s">
        <v>24</v>
      </c>
      <c r="C112" s="107" t="s">
        <v>57</v>
      </c>
      <c r="D112" s="107" t="s">
        <v>408</v>
      </c>
      <c r="E112" s="107" t="s">
        <v>139</v>
      </c>
      <c r="F112" s="107" t="s">
        <v>153</v>
      </c>
      <c r="G112" s="107" t="s">
        <v>156</v>
      </c>
      <c r="H112" s="105"/>
      <c r="I112" s="37">
        <f t="shared" si="11"/>
        <v>6622.6</v>
      </c>
      <c r="J112" s="37">
        <f t="shared" si="11"/>
        <v>6673</v>
      </c>
      <c r="K112" s="344">
        <f t="shared" si="8"/>
        <v>50.399999999999636</v>
      </c>
      <c r="L112" s="37">
        <f t="shared" si="11"/>
        <v>6073.2</v>
      </c>
      <c r="M112" s="37">
        <f t="shared" si="11"/>
        <v>4669</v>
      </c>
    </row>
    <row r="113" spans="1:13" s="346" customFormat="1" ht="81" customHeight="1">
      <c r="A113" s="123" t="s">
        <v>422</v>
      </c>
      <c r="B113" s="347" t="s">
        <v>24</v>
      </c>
      <c r="C113" s="112" t="s">
        <v>57</v>
      </c>
      <c r="D113" s="112" t="s">
        <v>408</v>
      </c>
      <c r="E113" s="112" t="s">
        <v>139</v>
      </c>
      <c r="F113" s="112" t="s">
        <v>153</v>
      </c>
      <c r="G113" s="112" t="s">
        <v>423</v>
      </c>
      <c r="H113" s="129"/>
      <c r="I113" s="78">
        <f>I114+I115</f>
        <v>6622.6</v>
      </c>
      <c r="J113" s="78">
        <f>J114+J115</f>
        <v>6673</v>
      </c>
      <c r="K113" s="348">
        <f t="shared" si="8"/>
        <v>50.399999999999636</v>
      </c>
      <c r="L113" s="78">
        <f>L114+L115</f>
        <v>6073.2</v>
      </c>
      <c r="M113" s="78">
        <f>M114+M115</f>
        <v>4669</v>
      </c>
    </row>
    <row r="114" spans="1:15" s="346" customFormat="1" ht="64.5" customHeight="1">
      <c r="A114" s="123" t="s">
        <v>755</v>
      </c>
      <c r="B114" s="347" t="s">
        <v>24</v>
      </c>
      <c r="C114" s="112" t="s">
        <v>57</v>
      </c>
      <c r="D114" s="112" t="s">
        <v>408</v>
      </c>
      <c r="E114" s="112" t="s">
        <v>139</v>
      </c>
      <c r="F114" s="112" t="s">
        <v>153</v>
      </c>
      <c r="G114" s="112" t="s">
        <v>423</v>
      </c>
      <c r="H114" s="129">
        <v>100</v>
      </c>
      <c r="I114" s="78">
        <f>4376-45.4</f>
        <v>4330.6</v>
      </c>
      <c r="J114" s="78">
        <f>4376-45.4+50.4</f>
        <v>4381</v>
      </c>
      <c r="K114" s="348">
        <f t="shared" si="8"/>
        <v>50.399999999999636</v>
      </c>
      <c r="L114" s="78">
        <f>4453.5+1619.7</f>
        <v>6073.2</v>
      </c>
      <c r="M114" s="78">
        <v>4669</v>
      </c>
      <c r="N114" s="345"/>
      <c r="O114" s="345"/>
    </row>
    <row r="115" spans="1:13" s="346" customFormat="1" ht="34.5" customHeight="1">
      <c r="A115" s="123" t="s">
        <v>758</v>
      </c>
      <c r="B115" s="347" t="s">
        <v>24</v>
      </c>
      <c r="C115" s="112" t="s">
        <v>57</v>
      </c>
      <c r="D115" s="112" t="s">
        <v>408</v>
      </c>
      <c r="E115" s="112" t="s">
        <v>139</v>
      </c>
      <c r="F115" s="112" t="s">
        <v>153</v>
      </c>
      <c r="G115" s="112" t="s">
        <v>423</v>
      </c>
      <c r="H115" s="129">
        <v>200</v>
      </c>
      <c r="I115" s="78">
        <f>1528+764</f>
        <v>2292</v>
      </c>
      <c r="J115" s="78">
        <f>1528+764</f>
        <v>2292</v>
      </c>
      <c r="K115" s="348">
        <f t="shared" si="8"/>
        <v>0</v>
      </c>
      <c r="L115" s="78"/>
      <c r="M115" s="78"/>
    </row>
    <row r="116" spans="1:15" s="345" customFormat="1" ht="21" customHeight="1">
      <c r="A116" s="139" t="s">
        <v>441</v>
      </c>
      <c r="B116" s="343" t="s">
        <v>24</v>
      </c>
      <c r="C116" s="107" t="s">
        <v>57</v>
      </c>
      <c r="D116" s="107" t="s">
        <v>442</v>
      </c>
      <c r="E116" s="107" t="s">
        <v>154</v>
      </c>
      <c r="F116" s="107" t="s">
        <v>155</v>
      </c>
      <c r="G116" s="107" t="s">
        <v>156</v>
      </c>
      <c r="H116" s="105"/>
      <c r="I116" s="37">
        <f aca="true" t="shared" si="12" ref="I116:M117">I117</f>
        <v>2863.1</v>
      </c>
      <c r="J116" s="37">
        <f t="shared" si="12"/>
        <v>2863.1</v>
      </c>
      <c r="K116" s="344">
        <f t="shared" si="8"/>
        <v>0</v>
      </c>
      <c r="L116" s="37">
        <f t="shared" si="12"/>
        <v>1521.2</v>
      </c>
      <c r="M116" s="37">
        <f t="shared" si="12"/>
        <v>1581.2</v>
      </c>
      <c r="N116" s="346"/>
      <c r="O116" s="346"/>
    </row>
    <row r="117" spans="1:13" s="346" customFormat="1" ht="19.5" customHeight="1">
      <c r="A117" s="136" t="s">
        <v>410</v>
      </c>
      <c r="B117" s="343" t="s">
        <v>24</v>
      </c>
      <c r="C117" s="107" t="s">
        <v>57</v>
      </c>
      <c r="D117" s="71" t="s">
        <v>442</v>
      </c>
      <c r="E117" s="71" t="s">
        <v>338</v>
      </c>
      <c r="F117" s="71" t="s">
        <v>155</v>
      </c>
      <c r="G117" s="71" t="s">
        <v>156</v>
      </c>
      <c r="H117" s="71"/>
      <c r="I117" s="37">
        <f t="shared" si="12"/>
        <v>2863.1</v>
      </c>
      <c r="J117" s="37">
        <f t="shared" si="12"/>
        <v>2863.1</v>
      </c>
      <c r="K117" s="344">
        <f t="shared" si="8"/>
        <v>0</v>
      </c>
      <c r="L117" s="37">
        <f t="shared" si="12"/>
        <v>1521.2</v>
      </c>
      <c r="M117" s="37">
        <f t="shared" si="12"/>
        <v>1581.2</v>
      </c>
    </row>
    <row r="118" spans="1:13" s="345" customFormat="1" ht="18.75" customHeight="1">
      <c r="A118" s="137" t="s">
        <v>410</v>
      </c>
      <c r="B118" s="343" t="s">
        <v>24</v>
      </c>
      <c r="C118" s="107" t="s">
        <v>57</v>
      </c>
      <c r="D118" s="107" t="s">
        <v>442</v>
      </c>
      <c r="E118" s="107" t="s">
        <v>338</v>
      </c>
      <c r="F118" s="71" t="s">
        <v>153</v>
      </c>
      <c r="G118" s="71" t="s">
        <v>156</v>
      </c>
      <c r="H118" s="71"/>
      <c r="I118" s="37">
        <f>I119+I123+I125+I127+I129+I133+I135</f>
        <v>2863.1</v>
      </c>
      <c r="J118" s="37">
        <f>J119+J123+J125+J127+J129+J133+J135</f>
        <v>2863.1</v>
      </c>
      <c r="K118" s="344">
        <f t="shared" si="8"/>
        <v>0</v>
      </c>
      <c r="L118" s="37">
        <f>L119+L123+L125+L127+L129+L133+L135</f>
        <v>1521.2</v>
      </c>
      <c r="M118" s="37">
        <f>M119+M123+M125+M127+M129+M133+M135</f>
        <v>1581.2</v>
      </c>
    </row>
    <row r="119" spans="1:13" s="346" customFormat="1" ht="17.25" customHeight="1">
      <c r="A119" s="123" t="s">
        <v>509</v>
      </c>
      <c r="B119" s="347" t="s">
        <v>24</v>
      </c>
      <c r="C119" s="112" t="s">
        <v>57</v>
      </c>
      <c r="D119" s="112" t="s">
        <v>442</v>
      </c>
      <c r="E119" s="112" t="s">
        <v>338</v>
      </c>
      <c r="F119" s="111" t="s">
        <v>153</v>
      </c>
      <c r="G119" s="112" t="s">
        <v>456</v>
      </c>
      <c r="H119" s="129"/>
      <c r="I119" s="78">
        <f>I120+I121+I122</f>
        <v>2668.2</v>
      </c>
      <c r="J119" s="78">
        <f>J120+J121+J122</f>
        <v>2668.2</v>
      </c>
      <c r="K119" s="348">
        <f t="shared" si="8"/>
        <v>0</v>
      </c>
      <c r="L119" s="78">
        <f>L120+L121+L122</f>
        <v>1421.2</v>
      </c>
      <c r="M119" s="78">
        <f>M120+M121+M122</f>
        <v>1481.2</v>
      </c>
    </row>
    <row r="120" spans="1:13" s="346" customFormat="1" ht="20.25" customHeight="1">
      <c r="A120" s="123" t="s">
        <v>758</v>
      </c>
      <c r="B120" s="347" t="s">
        <v>24</v>
      </c>
      <c r="C120" s="112" t="s">
        <v>57</v>
      </c>
      <c r="D120" s="112" t="s">
        <v>442</v>
      </c>
      <c r="E120" s="112" t="s">
        <v>338</v>
      </c>
      <c r="F120" s="111" t="s">
        <v>153</v>
      </c>
      <c r="G120" s="112" t="s">
        <v>456</v>
      </c>
      <c r="H120" s="129">
        <v>200</v>
      </c>
      <c r="I120" s="78">
        <f>1069.8+329.7-50</f>
        <v>1349.5</v>
      </c>
      <c r="J120" s="78">
        <f>1069.8+329.7-50</f>
        <v>1349.5</v>
      </c>
      <c r="K120" s="348">
        <f t="shared" si="8"/>
        <v>0</v>
      </c>
      <c r="L120" s="78">
        <f>1411.2-80</f>
        <v>1331.2</v>
      </c>
      <c r="M120" s="78">
        <f>1411.2-20</f>
        <v>1391.2</v>
      </c>
    </row>
    <row r="121" spans="1:13" s="346" customFormat="1" ht="21" customHeight="1">
      <c r="A121" s="123" t="s">
        <v>762</v>
      </c>
      <c r="B121" s="347" t="s">
        <v>24</v>
      </c>
      <c r="C121" s="112" t="s">
        <v>57</v>
      </c>
      <c r="D121" s="112" t="s">
        <v>442</v>
      </c>
      <c r="E121" s="112" t="s">
        <v>338</v>
      </c>
      <c r="F121" s="111" t="s">
        <v>153</v>
      </c>
      <c r="G121" s="112" t="s">
        <v>456</v>
      </c>
      <c r="H121" s="129">
        <v>300</v>
      </c>
      <c r="I121" s="78">
        <v>90</v>
      </c>
      <c r="J121" s="78">
        <v>90</v>
      </c>
      <c r="K121" s="348">
        <f t="shared" si="8"/>
        <v>0</v>
      </c>
      <c r="L121" s="78">
        <v>90</v>
      </c>
      <c r="M121" s="78">
        <v>90</v>
      </c>
    </row>
    <row r="122" spans="1:13" s="346" customFormat="1" ht="21" customHeight="1">
      <c r="A122" s="123" t="s">
        <v>759</v>
      </c>
      <c r="B122" s="347" t="s">
        <v>24</v>
      </c>
      <c r="C122" s="112" t="s">
        <v>57</v>
      </c>
      <c r="D122" s="112" t="s">
        <v>442</v>
      </c>
      <c r="E122" s="112" t="s">
        <v>338</v>
      </c>
      <c r="F122" s="111" t="s">
        <v>153</v>
      </c>
      <c r="G122" s="112" t="s">
        <v>456</v>
      </c>
      <c r="H122" s="129">
        <v>800</v>
      </c>
      <c r="I122" s="78">
        <f>334.6+894.1</f>
        <v>1228.7</v>
      </c>
      <c r="J122" s="78">
        <f>334.6+894.1</f>
        <v>1228.7</v>
      </c>
      <c r="K122" s="348">
        <f t="shared" si="8"/>
        <v>0</v>
      </c>
      <c r="L122" s="78"/>
      <c r="M122" s="78"/>
    </row>
    <row r="123" spans="1:15" s="346" customFormat="1" ht="23.25" customHeight="1">
      <c r="A123" s="123" t="s">
        <v>463</v>
      </c>
      <c r="B123" s="347">
        <v>110</v>
      </c>
      <c r="C123" s="112" t="s">
        <v>57</v>
      </c>
      <c r="D123" s="112" t="s">
        <v>442</v>
      </c>
      <c r="E123" s="112" t="s">
        <v>338</v>
      </c>
      <c r="F123" s="111" t="s">
        <v>153</v>
      </c>
      <c r="G123" s="112" t="s">
        <v>464</v>
      </c>
      <c r="H123" s="129"/>
      <c r="I123" s="78">
        <f>I124</f>
        <v>94.9</v>
      </c>
      <c r="J123" s="78">
        <f>J124</f>
        <v>94.9</v>
      </c>
      <c r="K123" s="348">
        <f t="shared" si="8"/>
        <v>0</v>
      </c>
      <c r="L123" s="78">
        <f>L124</f>
        <v>0</v>
      </c>
      <c r="M123" s="78">
        <f>M124</f>
        <v>0</v>
      </c>
      <c r="N123" s="345"/>
      <c r="O123" s="345"/>
    </row>
    <row r="124" spans="1:15" s="346" customFormat="1" ht="21" customHeight="1">
      <c r="A124" s="123" t="s">
        <v>759</v>
      </c>
      <c r="B124" s="347">
        <v>110</v>
      </c>
      <c r="C124" s="112" t="s">
        <v>57</v>
      </c>
      <c r="D124" s="112" t="s">
        <v>442</v>
      </c>
      <c r="E124" s="112" t="s">
        <v>338</v>
      </c>
      <c r="F124" s="111" t="s">
        <v>153</v>
      </c>
      <c r="G124" s="112" t="s">
        <v>464</v>
      </c>
      <c r="H124" s="129">
        <v>800</v>
      </c>
      <c r="I124" s="356">
        <f>48.9+46</f>
        <v>94.9</v>
      </c>
      <c r="J124" s="356">
        <f>48.9+46</f>
        <v>94.9</v>
      </c>
      <c r="K124" s="348">
        <f t="shared" si="8"/>
        <v>0</v>
      </c>
      <c r="L124" s="78"/>
      <c r="M124" s="78"/>
      <c r="N124" s="345"/>
      <c r="O124" s="345"/>
    </row>
    <row r="125" spans="1:15" s="345" customFormat="1" ht="20.25" customHeight="1" hidden="1">
      <c r="A125" s="123" t="s">
        <v>467</v>
      </c>
      <c r="B125" s="347">
        <v>110</v>
      </c>
      <c r="C125" s="112" t="s">
        <v>57</v>
      </c>
      <c r="D125" s="112" t="s">
        <v>442</v>
      </c>
      <c r="E125" s="112" t="s">
        <v>338</v>
      </c>
      <c r="F125" s="111" t="s">
        <v>153</v>
      </c>
      <c r="G125" s="112" t="s">
        <v>468</v>
      </c>
      <c r="H125" s="129"/>
      <c r="I125" s="353">
        <f>I126</f>
        <v>0</v>
      </c>
      <c r="J125" s="353">
        <f>J126</f>
        <v>0</v>
      </c>
      <c r="K125" s="348">
        <f t="shared" si="8"/>
        <v>0</v>
      </c>
      <c r="L125" s="353">
        <f>L126</f>
        <v>0</v>
      </c>
      <c r="M125" s="353">
        <f>M126</f>
        <v>0</v>
      </c>
      <c r="N125" s="346"/>
      <c r="O125" s="346"/>
    </row>
    <row r="126" spans="1:15" s="345" customFormat="1" ht="21" customHeight="1" hidden="1">
      <c r="A126" s="123" t="s">
        <v>758</v>
      </c>
      <c r="B126" s="347">
        <v>110</v>
      </c>
      <c r="C126" s="112" t="s">
        <v>57</v>
      </c>
      <c r="D126" s="112" t="s">
        <v>442</v>
      </c>
      <c r="E126" s="112" t="s">
        <v>338</v>
      </c>
      <c r="F126" s="111" t="s">
        <v>153</v>
      </c>
      <c r="G126" s="112" t="s">
        <v>468</v>
      </c>
      <c r="H126" s="129">
        <v>200</v>
      </c>
      <c r="I126" s="353"/>
      <c r="J126" s="351"/>
      <c r="K126" s="348">
        <f t="shared" si="8"/>
        <v>0</v>
      </c>
      <c r="L126" s="78"/>
      <c r="M126" s="78"/>
      <c r="N126" s="346"/>
      <c r="O126" s="346"/>
    </row>
    <row r="127" spans="1:13" s="346" customFormat="1" ht="30" customHeight="1" hidden="1">
      <c r="A127" s="123" t="s">
        <v>476</v>
      </c>
      <c r="B127" s="347">
        <v>110</v>
      </c>
      <c r="C127" s="112" t="s">
        <v>57</v>
      </c>
      <c r="D127" s="112" t="s">
        <v>442</v>
      </c>
      <c r="E127" s="112" t="s">
        <v>338</v>
      </c>
      <c r="F127" s="111" t="s">
        <v>153</v>
      </c>
      <c r="G127" s="112" t="s">
        <v>477</v>
      </c>
      <c r="H127" s="129"/>
      <c r="I127" s="78">
        <f>I128</f>
        <v>0</v>
      </c>
      <c r="J127" s="78">
        <f>J128</f>
        <v>0</v>
      </c>
      <c r="K127" s="348">
        <f t="shared" si="8"/>
        <v>0</v>
      </c>
      <c r="L127" s="78">
        <f>L128</f>
        <v>0</v>
      </c>
      <c r="M127" s="78">
        <f>M128</f>
        <v>0</v>
      </c>
    </row>
    <row r="128" spans="1:13" s="346" customFormat="1" ht="26.25" customHeight="1" hidden="1">
      <c r="A128" s="123" t="s">
        <v>758</v>
      </c>
      <c r="B128" s="347">
        <v>110</v>
      </c>
      <c r="C128" s="112" t="s">
        <v>57</v>
      </c>
      <c r="D128" s="112" t="s">
        <v>442</v>
      </c>
      <c r="E128" s="112" t="s">
        <v>338</v>
      </c>
      <c r="F128" s="111" t="s">
        <v>153</v>
      </c>
      <c r="G128" s="112" t="s">
        <v>477</v>
      </c>
      <c r="H128" s="129">
        <v>200</v>
      </c>
      <c r="I128" s="78"/>
      <c r="J128" s="351"/>
      <c r="K128" s="348">
        <f t="shared" si="8"/>
        <v>0</v>
      </c>
      <c r="L128" s="78"/>
      <c r="M128" s="78"/>
    </row>
    <row r="129" spans="1:13" s="346" customFormat="1" ht="23.25" customHeight="1" hidden="1">
      <c r="A129" s="121" t="s">
        <v>196</v>
      </c>
      <c r="B129" s="347" t="s">
        <v>24</v>
      </c>
      <c r="C129" s="112" t="s">
        <v>57</v>
      </c>
      <c r="D129" s="112" t="s">
        <v>442</v>
      </c>
      <c r="E129" s="112" t="s">
        <v>338</v>
      </c>
      <c r="F129" s="112" t="s">
        <v>153</v>
      </c>
      <c r="G129" s="112" t="s">
        <v>197</v>
      </c>
      <c r="H129" s="129"/>
      <c r="I129" s="78">
        <f>I130+I131+I132</f>
        <v>0</v>
      </c>
      <c r="J129" s="78">
        <f>J130+J131+J132</f>
        <v>0</v>
      </c>
      <c r="K129" s="348">
        <f t="shared" si="8"/>
        <v>0</v>
      </c>
      <c r="L129" s="78">
        <f>L130+L131+L132</f>
        <v>0</v>
      </c>
      <c r="M129" s="78">
        <f>M130+M131+M132</f>
        <v>0</v>
      </c>
    </row>
    <row r="130" spans="1:13" s="346" customFormat="1" ht="28.5" customHeight="1" hidden="1">
      <c r="A130" s="123" t="s">
        <v>755</v>
      </c>
      <c r="B130" s="347" t="s">
        <v>24</v>
      </c>
      <c r="C130" s="112" t="s">
        <v>57</v>
      </c>
      <c r="D130" s="112" t="s">
        <v>442</v>
      </c>
      <c r="E130" s="112" t="s">
        <v>338</v>
      </c>
      <c r="F130" s="112" t="s">
        <v>153</v>
      </c>
      <c r="G130" s="112" t="s">
        <v>197</v>
      </c>
      <c r="H130" s="129">
        <v>100</v>
      </c>
      <c r="I130" s="78"/>
      <c r="J130" s="351"/>
      <c r="K130" s="348">
        <f t="shared" si="8"/>
        <v>0</v>
      </c>
      <c r="L130" s="78"/>
      <c r="M130" s="78"/>
    </row>
    <row r="131" spans="1:13" s="346" customFormat="1" ht="21" customHeight="1" hidden="1">
      <c r="A131" s="123" t="s">
        <v>758</v>
      </c>
      <c r="B131" s="347" t="s">
        <v>24</v>
      </c>
      <c r="C131" s="112" t="s">
        <v>57</v>
      </c>
      <c r="D131" s="112" t="s">
        <v>442</v>
      </c>
      <c r="E131" s="112" t="s">
        <v>338</v>
      </c>
      <c r="F131" s="112" t="s">
        <v>153</v>
      </c>
      <c r="G131" s="112" t="s">
        <v>197</v>
      </c>
      <c r="H131" s="129">
        <v>200</v>
      </c>
      <c r="I131" s="78"/>
      <c r="J131" s="351"/>
      <c r="K131" s="348">
        <f t="shared" si="8"/>
        <v>0</v>
      </c>
      <c r="L131" s="78"/>
      <c r="M131" s="78"/>
    </row>
    <row r="132" spans="1:13" s="346" customFormat="1" ht="28.5" customHeight="1" hidden="1">
      <c r="A132" s="123" t="s">
        <v>759</v>
      </c>
      <c r="B132" s="347" t="s">
        <v>24</v>
      </c>
      <c r="C132" s="112" t="s">
        <v>57</v>
      </c>
      <c r="D132" s="112" t="s">
        <v>442</v>
      </c>
      <c r="E132" s="112" t="s">
        <v>338</v>
      </c>
      <c r="F132" s="112" t="s">
        <v>153</v>
      </c>
      <c r="G132" s="112" t="s">
        <v>197</v>
      </c>
      <c r="H132" s="129">
        <v>800</v>
      </c>
      <c r="I132" s="78"/>
      <c r="J132" s="351"/>
      <c r="K132" s="348">
        <f t="shared" si="8"/>
        <v>0</v>
      </c>
      <c r="L132" s="78"/>
      <c r="M132" s="78"/>
    </row>
    <row r="133" spans="1:13" s="346" customFormat="1" ht="60" customHeight="1">
      <c r="A133" s="123" t="s">
        <v>527</v>
      </c>
      <c r="B133" s="347" t="s">
        <v>24</v>
      </c>
      <c r="C133" s="112" t="s">
        <v>57</v>
      </c>
      <c r="D133" s="112" t="s">
        <v>442</v>
      </c>
      <c r="E133" s="112" t="s">
        <v>338</v>
      </c>
      <c r="F133" s="112" t="s">
        <v>153</v>
      </c>
      <c r="G133" s="112" t="s">
        <v>526</v>
      </c>
      <c r="H133" s="129"/>
      <c r="I133" s="78">
        <f>I134</f>
        <v>100</v>
      </c>
      <c r="J133" s="78">
        <f>J134</f>
        <v>100</v>
      </c>
      <c r="K133" s="348">
        <f t="shared" si="8"/>
        <v>0</v>
      </c>
      <c r="L133" s="78">
        <f>L134</f>
        <v>100</v>
      </c>
      <c r="M133" s="78">
        <f>M134</f>
        <v>100</v>
      </c>
    </row>
    <row r="134" spans="1:13" s="346" customFormat="1" ht="33" customHeight="1">
      <c r="A134" s="123" t="s">
        <v>758</v>
      </c>
      <c r="B134" s="347" t="s">
        <v>24</v>
      </c>
      <c r="C134" s="112" t="s">
        <v>57</v>
      </c>
      <c r="D134" s="112" t="s">
        <v>442</v>
      </c>
      <c r="E134" s="112" t="s">
        <v>338</v>
      </c>
      <c r="F134" s="112" t="s">
        <v>153</v>
      </c>
      <c r="G134" s="112" t="s">
        <v>526</v>
      </c>
      <c r="H134" s="129">
        <v>200</v>
      </c>
      <c r="I134" s="78">
        <v>100</v>
      </c>
      <c r="J134" s="78">
        <v>100</v>
      </c>
      <c r="K134" s="348">
        <f t="shared" si="8"/>
        <v>0</v>
      </c>
      <c r="L134" s="78">
        <v>100</v>
      </c>
      <c r="M134" s="78">
        <v>100</v>
      </c>
    </row>
    <row r="135" spans="1:13" s="346" customFormat="1" ht="33" customHeight="1" hidden="1">
      <c r="A135" s="123" t="s">
        <v>714</v>
      </c>
      <c r="B135" s="347" t="s">
        <v>24</v>
      </c>
      <c r="C135" s="112" t="s">
        <v>57</v>
      </c>
      <c r="D135" s="112" t="s">
        <v>442</v>
      </c>
      <c r="E135" s="112" t="s">
        <v>338</v>
      </c>
      <c r="F135" s="112" t="s">
        <v>153</v>
      </c>
      <c r="G135" s="112" t="s">
        <v>713</v>
      </c>
      <c r="H135" s="129"/>
      <c r="I135" s="78">
        <f>I136</f>
        <v>0</v>
      </c>
      <c r="J135" s="78">
        <f>J136</f>
        <v>0</v>
      </c>
      <c r="K135" s="348">
        <f t="shared" si="8"/>
        <v>0</v>
      </c>
      <c r="L135" s="78">
        <f>L136</f>
        <v>0</v>
      </c>
      <c r="M135" s="351"/>
    </row>
    <row r="136" spans="1:13" s="346" customFormat="1" ht="33.75" customHeight="1" hidden="1">
      <c r="A136" s="123" t="s">
        <v>769</v>
      </c>
      <c r="B136" s="347" t="s">
        <v>24</v>
      </c>
      <c r="C136" s="112" t="s">
        <v>57</v>
      </c>
      <c r="D136" s="112" t="s">
        <v>442</v>
      </c>
      <c r="E136" s="112" t="s">
        <v>338</v>
      </c>
      <c r="F136" s="112" t="s">
        <v>153</v>
      </c>
      <c r="G136" s="112" t="s">
        <v>713</v>
      </c>
      <c r="H136" s="129">
        <v>400</v>
      </c>
      <c r="I136" s="78"/>
      <c r="J136" s="351"/>
      <c r="K136" s="348">
        <f t="shared" si="8"/>
        <v>0</v>
      </c>
      <c r="L136" s="78"/>
      <c r="M136" s="78"/>
    </row>
    <row r="137" spans="1:13" s="346" customFormat="1" ht="20.25" customHeight="1">
      <c r="A137" s="139" t="s">
        <v>58</v>
      </c>
      <c r="B137" s="343" t="s">
        <v>24</v>
      </c>
      <c r="C137" s="107" t="s">
        <v>59</v>
      </c>
      <c r="D137" s="71"/>
      <c r="E137" s="71"/>
      <c r="F137" s="71"/>
      <c r="G137" s="71"/>
      <c r="H137" s="71"/>
      <c r="I137" s="37">
        <f>I138</f>
        <v>1040.5</v>
      </c>
      <c r="J137" s="37">
        <f>J138</f>
        <v>1040.5</v>
      </c>
      <c r="K137" s="344">
        <f t="shared" si="8"/>
        <v>0</v>
      </c>
      <c r="L137" s="37">
        <f>L138</f>
        <v>1064.6</v>
      </c>
      <c r="M137" s="37">
        <f>M138</f>
        <v>1064.6</v>
      </c>
    </row>
    <row r="138" spans="1:13" s="346" customFormat="1" ht="30.75" customHeight="1">
      <c r="A138" s="139" t="s">
        <v>60</v>
      </c>
      <c r="B138" s="343" t="s">
        <v>24</v>
      </c>
      <c r="C138" s="107" t="s">
        <v>61</v>
      </c>
      <c r="D138" s="71"/>
      <c r="E138" s="71"/>
      <c r="F138" s="71"/>
      <c r="G138" s="71"/>
      <c r="H138" s="71"/>
      <c r="I138" s="37">
        <f>I139+I160</f>
        <v>1040.5</v>
      </c>
      <c r="J138" s="37">
        <f>J139+J160</f>
        <v>1040.5</v>
      </c>
      <c r="K138" s="344">
        <f t="shared" si="8"/>
        <v>0</v>
      </c>
      <c r="L138" s="37">
        <f>L139+L160</f>
        <v>1064.6</v>
      </c>
      <c r="M138" s="37">
        <f>M139+M160</f>
        <v>1064.6</v>
      </c>
    </row>
    <row r="139" spans="1:13" s="346" customFormat="1" ht="27.75" customHeight="1">
      <c r="A139" s="139" t="s">
        <v>145</v>
      </c>
      <c r="B139" s="343" t="s">
        <v>24</v>
      </c>
      <c r="C139" s="107" t="s">
        <v>61</v>
      </c>
      <c r="D139" s="71" t="s">
        <v>350</v>
      </c>
      <c r="E139" s="71" t="s">
        <v>154</v>
      </c>
      <c r="F139" s="71" t="s">
        <v>155</v>
      </c>
      <c r="G139" s="71" t="s">
        <v>156</v>
      </c>
      <c r="H139" s="71"/>
      <c r="I139" s="37">
        <f>I140</f>
        <v>1040.5</v>
      </c>
      <c r="J139" s="37">
        <f>J140</f>
        <v>1040.5</v>
      </c>
      <c r="K139" s="344">
        <f t="shared" si="8"/>
        <v>0</v>
      </c>
      <c r="L139" s="37">
        <f>L140</f>
        <v>1064.6</v>
      </c>
      <c r="M139" s="37">
        <f>M140</f>
        <v>1064.6</v>
      </c>
    </row>
    <row r="140" spans="1:13" s="346" customFormat="1" ht="69.75" customHeight="1">
      <c r="A140" s="109" t="s">
        <v>910</v>
      </c>
      <c r="B140" s="343" t="s">
        <v>24</v>
      </c>
      <c r="C140" s="107" t="s">
        <v>61</v>
      </c>
      <c r="D140" s="71" t="s">
        <v>350</v>
      </c>
      <c r="E140" s="71" t="s">
        <v>137</v>
      </c>
      <c r="F140" s="71" t="s">
        <v>155</v>
      </c>
      <c r="G140" s="71" t="s">
        <v>156</v>
      </c>
      <c r="H140" s="71"/>
      <c r="I140" s="37">
        <f>I141+I146+I153</f>
        <v>1040.5</v>
      </c>
      <c r="J140" s="37">
        <f>J141+J146+J153</f>
        <v>1040.5</v>
      </c>
      <c r="K140" s="344">
        <f t="shared" si="8"/>
        <v>0</v>
      </c>
      <c r="L140" s="37">
        <f>L141+L146+L153</f>
        <v>1064.6</v>
      </c>
      <c r="M140" s="37">
        <f>M141+M146+M153</f>
        <v>1064.6</v>
      </c>
    </row>
    <row r="141" spans="1:13" s="345" customFormat="1" ht="31.5" customHeight="1">
      <c r="A141" s="137" t="s">
        <v>361</v>
      </c>
      <c r="B141" s="343" t="s">
        <v>24</v>
      </c>
      <c r="C141" s="107" t="s">
        <v>61</v>
      </c>
      <c r="D141" s="71" t="s">
        <v>350</v>
      </c>
      <c r="E141" s="71" t="s">
        <v>137</v>
      </c>
      <c r="F141" s="71" t="s">
        <v>153</v>
      </c>
      <c r="G141" s="71" t="s">
        <v>156</v>
      </c>
      <c r="H141" s="71"/>
      <c r="I141" s="37">
        <f>I142+I144</f>
        <v>825.9</v>
      </c>
      <c r="J141" s="37">
        <f>J142+J144</f>
        <v>797.1</v>
      </c>
      <c r="K141" s="344">
        <f t="shared" si="8"/>
        <v>-28.799999999999955</v>
      </c>
      <c r="L141" s="37">
        <f>L142+L144</f>
        <v>845</v>
      </c>
      <c r="M141" s="37">
        <f>M142+M144</f>
        <v>845</v>
      </c>
    </row>
    <row r="142" spans="1:15" s="346" customFormat="1" ht="21" customHeight="1">
      <c r="A142" s="127" t="s">
        <v>362</v>
      </c>
      <c r="B142" s="347" t="s">
        <v>24</v>
      </c>
      <c r="C142" s="112" t="s">
        <v>61</v>
      </c>
      <c r="D142" s="111" t="s">
        <v>350</v>
      </c>
      <c r="E142" s="111" t="s">
        <v>137</v>
      </c>
      <c r="F142" s="111" t="s">
        <v>153</v>
      </c>
      <c r="G142" s="111" t="s">
        <v>363</v>
      </c>
      <c r="H142" s="111"/>
      <c r="I142" s="78">
        <f>I143</f>
        <v>806.1</v>
      </c>
      <c r="J142" s="78">
        <f>J143</f>
        <v>777.3000000000001</v>
      </c>
      <c r="K142" s="348">
        <f t="shared" si="8"/>
        <v>-28.799999999999955</v>
      </c>
      <c r="L142" s="78">
        <f>L143</f>
        <v>824.7</v>
      </c>
      <c r="M142" s="78">
        <f>M143</f>
        <v>824.7</v>
      </c>
      <c r="N142" s="327"/>
      <c r="O142" s="327"/>
    </row>
    <row r="143" spans="1:13" s="346" customFormat="1" ht="32.25" customHeight="1">
      <c r="A143" s="123" t="s">
        <v>758</v>
      </c>
      <c r="B143" s="347" t="s">
        <v>24</v>
      </c>
      <c r="C143" s="112" t="s">
        <v>61</v>
      </c>
      <c r="D143" s="111" t="s">
        <v>350</v>
      </c>
      <c r="E143" s="111" t="s">
        <v>137</v>
      </c>
      <c r="F143" s="111" t="s">
        <v>153</v>
      </c>
      <c r="G143" s="111" t="s">
        <v>363</v>
      </c>
      <c r="H143" s="111" t="s">
        <v>757</v>
      </c>
      <c r="I143" s="78">
        <v>806.1</v>
      </c>
      <c r="J143" s="78">
        <f>806.1-28.8</f>
        <v>777.3000000000001</v>
      </c>
      <c r="K143" s="348">
        <f t="shared" si="8"/>
        <v>-28.799999999999955</v>
      </c>
      <c r="L143" s="78">
        <v>824.7</v>
      </c>
      <c r="M143" s="78">
        <v>824.7</v>
      </c>
    </row>
    <row r="144" spans="1:15" ht="33" customHeight="1">
      <c r="A144" s="127" t="s">
        <v>365</v>
      </c>
      <c r="B144" s="347" t="s">
        <v>24</v>
      </c>
      <c r="C144" s="112" t="s">
        <v>61</v>
      </c>
      <c r="D144" s="111" t="s">
        <v>350</v>
      </c>
      <c r="E144" s="111" t="s">
        <v>137</v>
      </c>
      <c r="F144" s="111" t="s">
        <v>153</v>
      </c>
      <c r="G144" s="111" t="s">
        <v>366</v>
      </c>
      <c r="H144" s="111"/>
      <c r="I144" s="78">
        <f>I145</f>
        <v>19.8</v>
      </c>
      <c r="J144" s="78">
        <f>J145</f>
        <v>19.8</v>
      </c>
      <c r="K144" s="348">
        <f aca="true" t="shared" si="13" ref="K144:K230">J144-I144</f>
        <v>0</v>
      </c>
      <c r="L144" s="78">
        <f>L145</f>
        <v>20.3</v>
      </c>
      <c r="M144" s="78">
        <f>M145</f>
        <v>20.3</v>
      </c>
      <c r="N144" s="346"/>
      <c r="O144" s="346"/>
    </row>
    <row r="145" spans="1:13" s="346" customFormat="1" ht="33.75" customHeight="1">
      <c r="A145" s="123" t="s">
        <v>758</v>
      </c>
      <c r="B145" s="347" t="s">
        <v>24</v>
      </c>
      <c r="C145" s="112" t="s">
        <v>61</v>
      </c>
      <c r="D145" s="111" t="s">
        <v>350</v>
      </c>
      <c r="E145" s="111" t="s">
        <v>137</v>
      </c>
      <c r="F145" s="111" t="s">
        <v>153</v>
      </c>
      <c r="G145" s="111" t="s">
        <v>366</v>
      </c>
      <c r="H145" s="111" t="s">
        <v>757</v>
      </c>
      <c r="I145" s="78">
        <v>19.8</v>
      </c>
      <c r="J145" s="78">
        <v>19.8</v>
      </c>
      <c r="K145" s="348">
        <f t="shared" si="13"/>
        <v>0</v>
      </c>
      <c r="L145" s="78">
        <v>20.3</v>
      </c>
      <c r="M145" s="78">
        <v>20.3</v>
      </c>
    </row>
    <row r="146" spans="1:15" s="345" customFormat="1" ht="34.5" customHeight="1">
      <c r="A146" s="137" t="s">
        <v>367</v>
      </c>
      <c r="B146" s="343" t="s">
        <v>24</v>
      </c>
      <c r="C146" s="107" t="s">
        <v>61</v>
      </c>
      <c r="D146" s="71" t="s">
        <v>350</v>
      </c>
      <c r="E146" s="71" t="s">
        <v>137</v>
      </c>
      <c r="F146" s="71" t="s">
        <v>166</v>
      </c>
      <c r="G146" s="71" t="s">
        <v>156</v>
      </c>
      <c r="H146" s="71"/>
      <c r="I146" s="37">
        <f>I147+I149+I151</f>
        <v>128.8</v>
      </c>
      <c r="J146" s="37">
        <f>J147+J149+J151</f>
        <v>227.8</v>
      </c>
      <c r="K146" s="344">
        <f t="shared" si="13"/>
        <v>99</v>
      </c>
      <c r="L146" s="37">
        <f>L147+L149+L151</f>
        <v>131.8</v>
      </c>
      <c r="M146" s="37">
        <f>M147+M149+M151</f>
        <v>131.8</v>
      </c>
      <c r="N146" s="355"/>
      <c r="O146" s="355"/>
    </row>
    <row r="147" spans="1:15" s="346" customFormat="1" ht="33" customHeight="1">
      <c r="A147" s="127" t="s">
        <v>1096</v>
      </c>
      <c r="B147" s="347" t="s">
        <v>24</v>
      </c>
      <c r="C147" s="112" t="s">
        <v>61</v>
      </c>
      <c r="D147" s="111" t="s">
        <v>350</v>
      </c>
      <c r="E147" s="111" t="s">
        <v>137</v>
      </c>
      <c r="F147" s="111" t="s">
        <v>166</v>
      </c>
      <c r="G147" s="111" t="s">
        <v>368</v>
      </c>
      <c r="H147" s="111"/>
      <c r="I147" s="78">
        <f>I148</f>
        <v>100.00000000000001</v>
      </c>
      <c r="J147" s="78">
        <f>J148</f>
        <v>100.00000000000001</v>
      </c>
      <c r="K147" s="348">
        <f t="shared" si="13"/>
        <v>0</v>
      </c>
      <c r="L147" s="78">
        <f>L148</f>
        <v>50.000000000000014</v>
      </c>
      <c r="M147" s="78">
        <f>M148</f>
        <v>50.000000000000014</v>
      </c>
      <c r="N147" s="355"/>
      <c r="O147" s="355"/>
    </row>
    <row r="148" spans="1:15" s="355" customFormat="1" ht="33" customHeight="1">
      <c r="A148" s="123" t="s">
        <v>758</v>
      </c>
      <c r="B148" s="347" t="s">
        <v>24</v>
      </c>
      <c r="C148" s="112" t="s">
        <v>61</v>
      </c>
      <c r="D148" s="111" t="s">
        <v>350</v>
      </c>
      <c r="E148" s="111" t="s">
        <v>137</v>
      </c>
      <c r="F148" s="111" t="s">
        <v>166</v>
      </c>
      <c r="G148" s="111" t="s">
        <v>368</v>
      </c>
      <c r="H148" s="111" t="s">
        <v>757</v>
      </c>
      <c r="I148" s="78">
        <f>128.8-78.8+50</f>
        <v>100.00000000000001</v>
      </c>
      <c r="J148" s="78">
        <f>128.8-78.8+50</f>
        <v>100.00000000000001</v>
      </c>
      <c r="K148" s="348">
        <f t="shared" si="13"/>
        <v>0</v>
      </c>
      <c r="L148" s="78">
        <f>131.8-81.8</f>
        <v>50.000000000000014</v>
      </c>
      <c r="M148" s="78">
        <f>131.8-81.8</f>
        <v>50.000000000000014</v>
      </c>
      <c r="N148" s="327"/>
      <c r="O148" s="327"/>
    </row>
    <row r="149" spans="1:15" s="355" customFormat="1" ht="23.25" customHeight="1">
      <c r="A149" s="119" t="s">
        <v>911</v>
      </c>
      <c r="B149" s="347">
        <v>110</v>
      </c>
      <c r="C149" s="112" t="s">
        <v>61</v>
      </c>
      <c r="D149" s="111" t="s">
        <v>350</v>
      </c>
      <c r="E149" s="111" t="s">
        <v>137</v>
      </c>
      <c r="F149" s="111" t="s">
        <v>166</v>
      </c>
      <c r="G149" s="111" t="s">
        <v>961</v>
      </c>
      <c r="H149" s="111"/>
      <c r="I149" s="78">
        <f>I150</f>
        <v>28.799999999999997</v>
      </c>
      <c r="J149" s="78">
        <f>J150</f>
        <v>28.799999999999997</v>
      </c>
      <c r="K149" s="348">
        <f t="shared" si="13"/>
        <v>0</v>
      </c>
      <c r="L149" s="78">
        <f>L150</f>
        <v>81.8</v>
      </c>
      <c r="M149" s="78">
        <f>M150</f>
        <v>81.8</v>
      </c>
      <c r="N149" s="327"/>
      <c r="O149" s="327"/>
    </row>
    <row r="150" spans="1:15" s="355" customFormat="1" ht="32.25" customHeight="1">
      <c r="A150" s="114" t="s">
        <v>758</v>
      </c>
      <c r="B150" s="347">
        <v>110</v>
      </c>
      <c r="C150" s="112" t="s">
        <v>61</v>
      </c>
      <c r="D150" s="111" t="s">
        <v>350</v>
      </c>
      <c r="E150" s="111" t="s">
        <v>137</v>
      </c>
      <c r="F150" s="111" t="s">
        <v>166</v>
      </c>
      <c r="G150" s="111" t="s">
        <v>961</v>
      </c>
      <c r="H150" s="111" t="s">
        <v>757</v>
      </c>
      <c r="I150" s="78">
        <f>78.8-50</f>
        <v>28.799999999999997</v>
      </c>
      <c r="J150" s="78">
        <f>78.8-50</f>
        <v>28.799999999999997</v>
      </c>
      <c r="K150" s="348">
        <f t="shared" si="13"/>
        <v>0</v>
      </c>
      <c r="L150" s="78">
        <v>81.8</v>
      </c>
      <c r="M150" s="78">
        <v>81.8</v>
      </c>
      <c r="N150" s="327"/>
      <c r="O150" s="327"/>
    </row>
    <row r="151" spans="1:15" s="355" customFormat="1" ht="32.25" customHeight="1">
      <c r="A151" s="119" t="s">
        <v>1216</v>
      </c>
      <c r="B151" s="347">
        <v>110</v>
      </c>
      <c r="C151" s="112" t="s">
        <v>61</v>
      </c>
      <c r="D151" s="111" t="s">
        <v>350</v>
      </c>
      <c r="E151" s="111" t="s">
        <v>137</v>
      </c>
      <c r="F151" s="111" t="s">
        <v>166</v>
      </c>
      <c r="G151" s="111" t="s">
        <v>1217</v>
      </c>
      <c r="H151" s="111"/>
      <c r="I151" s="78">
        <f>I152</f>
        <v>0</v>
      </c>
      <c r="J151" s="78">
        <f>J152</f>
        <v>99</v>
      </c>
      <c r="K151" s="348">
        <f t="shared" si="13"/>
        <v>99</v>
      </c>
      <c r="L151" s="78">
        <f>L152</f>
        <v>0</v>
      </c>
      <c r="M151" s="78">
        <f>M152</f>
        <v>0</v>
      </c>
      <c r="N151" s="327"/>
      <c r="O151" s="327"/>
    </row>
    <row r="152" spans="1:15" s="355" customFormat="1" ht="32.25" customHeight="1">
      <c r="A152" s="114" t="s">
        <v>758</v>
      </c>
      <c r="B152" s="347">
        <v>110</v>
      </c>
      <c r="C152" s="112" t="s">
        <v>61</v>
      </c>
      <c r="D152" s="111" t="s">
        <v>350</v>
      </c>
      <c r="E152" s="111" t="s">
        <v>137</v>
      </c>
      <c r="F152" s="111" t="s">
        <v>166</v>
      </c>
      <c r="G152" s="111" t="s">
        <v>1217</v>
      </c>
      <c r="H152" s="111" t="s">
        <v>757</v>
      </c>
      <c r="I152" s="78"/>
      <c r="J152" s="78">
        <v>99</v>
      </c>
      <c r="K152" s="348">
        <f t="shared" si="13"/>
        <v>99</v>
      </c>
      <c r="L152" s="78"/>
      <c r="M152" s="78"/>
      <c r="N152" s="327"/>
      <c r="O152" s="327"/>
    </row>
    <row r="153" spans="1:13" s="355" customFormat="1" ht="34.5" customHeight="1">
      <c r="A153" s="137" t="s">
        <v>369</v>
      </c>
      <c r="B153" s="343" t="s">
        <v>24</v>
      </c>
      <c r="C153" s="107" t="s">
        <v>61</v>
      </c>
      <c r="D153" s="71" t="s">
        <v>350</v>
      </c>
      <c r="E153" s="71" t="s">
        <v>137</v>
      </c>
      <c r="F153" s="71" t="s">
        <v>180</v>
      </c>
      <c r="G153" s="71" t="s">
        <v>156</v>
      </c>
      <c r="H153" s="71"/>
      <c r="I153" s="37">
        <f>I154+I156+I158</f>
        <v>85.8</v>
      </c>
      <c r="J153" s="37">
        <f>J154+J156+J158</f>
        <v>15.6</v>
      </c>
      <c r="K153" s="344">
        <f t="shared" si="13"/>
        <v>-70.2</v>
      </c>
      <c r="L153" s="37">
        <f>L154+L156+L158</f>
        <v>87.80000000000001</v>
      </c>
      <c r="M153" s="37">
        <f>M154+M156+M158</f>
        <v>87.80000000000001</v>
      </c>
    </row>
    <row r="154" spans="1:13" ht="33" customHeight="1">
      <c r="A154" s="127" t="s">
        <v>370</v>
      </c>
      <c r="B154" s="347" t="s">
        <v>24</v>
      </c>
      <c r="C154" s="112" t="s">
        <v>61</v>
      </c>
      <c r="D154" s="111" t="s">
        <v>350</v>
      </c>
      <c r="E154" s="111" t="s">
        <v>137</v>
      </c>
      <c r="F154" s="111" t="s">
        <v>180</v>
      </c>
      <c r="G154" s="111" t="s">
        <v>371</v>
      </c>
      <c r="H154" s="111"/>
      <c r="I154" s="78">
        <f>I155</f>
        <v>20.7</v>
      </c>
      <c r="J154" s="78">
        <f>J155</f>
        <v>0</v>
      </c>
      <c r="K154" s="348">
        <f t="shared" si="13"/>
        <v>-20.7</v>
      </c>
      <c r="L154" s="78">
        <f>L155</f>
        <v>21.2</v>
      </c>
      <c r="M154" s="78">
        <f>M155</f>
        <v>21.2</v>
      </c>
    </row>
    <row r="155" spans="1:13" ht="35.25" customHeight="1">
      <c r="A155" s="123" t="s">
        <v>758</v>
      </c>
      <c r="B155" s="347" t="s">
        <v>24</v>
      </c>
      <c r="C155" s="112" t="s">
        <v>61</v>
      </c>
      <c r="D155" s="111" t="s">
        <v>350</v>
      </c>
      <c r="E155" s="111" t="s">
        <v>137</v>
      </c>
      <c r="F155" s="111" t="s">
        <v>180</v>
      </c>
      <c r="G155" s="111" t="s">
        <v>371</v>
      </c>
      <c r="H155" s="111" t="s">
        <v>757</v>
      </c>
      <c r="I155" s="78">
        <v>20.7</v>
      </c>
      <c r="J155" s="78">
        <f>20.7-20.7</f>
        <v>0</v>
      </c>
      <c r="K155" s="348">
        <f t="shared" si="13"/>
        <v>-20.7</v>
      </c>
      <c r="L155" s="78">
        <v>21.2</v>
      </c>
      <c r="M155" s="78">
        <v>21.2</v>
      </c>
    </row>
    <row r="156" spans="1:13" ht="35.25" customHeight="1">
      <c r="A156" s="127" t="s">
        <v>1091</v>
      </c>
      <c r="B156" s="347" t="s">
        <v>24</v>
      </c>
      <c r="C156" s="112" t="s">
        <v>61</v>
      </c>
      <c r="D156" s="111" t="s">
        <v>350</v>
      </c>
      <c r="E156" s="111" t="s">
        <v>137</v>
      </c>
      <c r="F156" s="111" t="s">
        <v>180</v>
      </c>
      <c r="G156" s="111" t="s">
        <v>372</v>
      </c>
      <c r="H156" s="111"/>
      <c r="I156" s="78">
        <f>I157</f>
        <v>15.6</v>
      </c>
      <c r="J156" s="78">
        <f>J157</f>
        <v>15.6</v>
      </c>
      <c r="K156" s="348">
        <f t="shared" si="13"/>
        <v>0</v>
      </c>
      <c r="L156" s="78">
        <f>L157</f>
        <v>16</v>
      </c>
      <c r="M156" s="78">
        <f>M157</f>
        <v>16</v>
      </c>
    </row>
    <row r="157" spans="1:13" ht="31.5" customHeight="1">
      <c r="A157" s="123" t="s">
        <v>758</v>
      </c>
      <c r="B157" s="347" t="s">
        <v>24</v>
      </c>
      <c r="C157" s="112" t="s">
        <v>61</v>
      </c>
      <c r="D157" s="111" t="s">
        <v>350</v>
      </c>
      <c r="E157" s="111" t="s">
        <v>137</v>
      </c>
      <c r="F157" s="111" t="s">
        <v>180</v>
      </c>
      <c r="G157" s="111" t="s">
        <v>372</v>
      </c>
      <c r="H157" s="111" t="s">
        <v>757</v>
      </c>
      <c r="I157" s="78">
        <v>15.6</v>
      </c>
      <c r="J157" s="78">
        <v>15.6</v>
      </c>
      <c r="K157" s="348">
        <f t="shared" si="13"/>
        <v>0</v>
      </c>
      <c r="L157" s="78">
        <v>16</v>
      </c>
      <c r="M157" s="78">
        <v>16</v>
      </c>
    </row>
    <row r="158" spans="1:13" ht="18" customHeight="1">
      <c r="A158" s="127" t="s">
        <v>373</v>
      </c>
      <c r="B158" s="347" t="s">
        <v>24</v>
      </c>
      <c r="C158" s="112" t="s">
        <v>61</v>
      </c>
      <c r="D158" s="111" t="s">
        <v>350</v>
      </c>
      <c r="E158" s="111" t="s">
        <v>137</v>
      </c>
      <c r="F158" s="111" t="s">
        <v>180</v>
      </c>
      <c r="G158" s="111" t="s">
        <v>374</v>
      </c>
      <c r="H158" s="111"/>
      <c r="I158" s="78">
        <f>I159</f>
        <v>49.5</v>
      </c>
      <c r="J158" s="78">
        <f>J159</f>
        <v>0</v>
      </c>
      <c r="K158" s="348">
        <f t="shared" si="13"/>
        <v>-49.5</v>
      </c>
      <c r="L158" s="78">
        <f>L159</f>
        <v>50.6</v>
      </c>
      <c r="M158" s="78">
        <f>M159</f>
        <v>50.6</v>
      </c>
    </row>
    <row r="159" spans="1:13" ht="33" customHeight="1">
      <c r="A159" s="123" t="s">
        <v>758</v>
      </c>
      <c r="B159" s="347" t="s">
        <v>24</v>
      </c>
      <c r="C159" s="112" t="s">
        <v>61</v>
      </c>
      <c r="D159" s="111" t="s">
        <v>350</v>
      </c>
      <c r="E159" s="111" t="s">
        <v>137</v>
      </c>
      <c r="F159" s="111" t="s">
        <v>180</v>
      </c>
      <c r="G159" s="111" t="s">
        <v>374</v>
      </c>
      <c r="H159" s="111" t="s">
        <v>757</v>
      </c>
      <c r="I159" s="78">
        <v>49.5</v>
      </c>
      <c r="J159" s="78">
        <f>49.5-49.5</f>
        <v>0</v>
      </c>
      <c r="K159" s="348">
        <f t="shared" si="13"/>
        <v>-49.5</v>
      </c>
      <c r="L159" s="78">
        <v>50.6</v>
      </c>
      <c r="M159" s="78">
        <v>50.6</v>
      </c>
    </row>
    <row r="160" spans="1:13" ht="21" customHeight="1" hidden="1">
      <c r="A160" s="139" t="s">
        <v>441</v>
      </c>
      <c r="B160" s="343">
        <v>110</v>
      </c>
      <c r="C160" s="107" t="s">
        <v>61</v>
      </c>
      <c r="D160" s="71" t="s">
        <v>442</v>
      </c>
      <c r="E160" s="71" t="s">
        <v>154</v>
      </c>
      <c r="F160" s="71" t="s">
        <v>155</v>
      </c>
      <c r="G160" s="71" t="s">
        <v>156</v>
      </c>
      <c r="H160" s="71"/>
      <c r="I160" s="37">
        <f aca="true" t="shared" si="14" ref="I160:M163">I161</f>
        <v>0</v>
      </c>
      <c r="J160" s="37">
        <f t="shared" si="14"/>
        <v>0</v>
      </c>
      <c r="K160" s="344">
        <f t="shared" si="13"/>
        <v>0</v>
      </c>
      <c r="L160" s="37">
        <f t="shared" si="14"/>
        <v>0</v>
      </c>
      <c r="M160" s="37">
        <f t="shared" si="14"/>
        <v>0</v>
      </c>
    </row>
    <row r="161" spans="1:13" ht="21" customHeight="1" hidden="1">
      <c r="A161" s="136" t="s">
        <v>410</v>
      </c>
      <c r="B161" s="343">
        <v>110</v>
      </c>
      <c r="C161" s="107" t="s">
        <v>61</v>
      </c>
      <c r="D161" s="71" t="s">
        <v>442</v>
      </c>
      <c r="E161" s="71" t="s">
        <v>338</v>
      </c>
      <c r="F161" s="71" t="s">
        <v>155</v>
      </c>
      <c r="G161" s="71" t="s">
        <v>156</v>
      </c>
      <c r="H161" s="71"/>
      <c r="I161" s="37">
        <f t="shared" si="14"/>
        <v>0</v>
      </c>
      <c r="J161" s="37">
        <f t="shared" si="14"/>
        <v>0</v>
      </c>
      <c r="K161" s="344">
        <f t="shared" si="13"/>
        <v>0</v>
      </c>
      <c r="L161" s="37">
        <f t="shared" si="14"/>
        <v>0</v>
      </c>
      <c r="M161" s="37">
        <f t="shared" si="14"/>
        <v>0</v>
      </c>
    </row>
    <row r="162" spans="1:15" s="355" customFormat="1" ht="19.5" customHeight="1" hidden="1">
      <c r="A162" s="137" t="s">
        <v>410</v>
      </c>
      <c r="B162" s="343">
        <v>110</v>
      </c>
      <c r="C162" s="107" t="s">
        <v>61</v>
      </c>
      <c r="D162" s="71" t="s">
        <v>442</v>
      </c>
      <c r="E162" s="71" t="s">
        <v>338</v>
      </c>
      <c r="F162" s="71" t="s">
        <v>153</v>
      </c>
      <c r="G162" s="71" t="s">
        <v>156</v>
      </c>
      <c r="H162" s="71"/>
      <c r="I162" s="37">
        <f t="shared" si="14"/>
        <v>0</v>
      </c>
      <c r="J162" s="37">
        <f t="shared" si="14"/>
        <v>0</v>
      </c>
      <c r="K162" s="344">
        <f t="shared" si="13"/>
        <v>0</v>
      </c>
      <c r="L162" s="37">
        <f t="shared" si="14"/>
        <v>0</v>
      </c>
      <c r="M162" s="37">
        <f t="shared" si="14"/>
        <v>0</v>
      </c>
      <c r="N162" s="345"/>
      <c r="O162" s="345"/>
    </row>
    <row r="163" spans="1:15" ht="18.75" customHeight="1" hidden="1">
      <c r="A163" s="123" t="s">
        <v>461</v>
      </c>
      <c r="B163" s="347">
        <v>110</v>
      </c>
      <c r="C163" s="112" t="s">
        <v>61</v>
      </c>
      <c r="D163" s="111" t="s">
        <v>442</v>
      </c>
      <c r="E163" s="111" t="s">
        <v>338</v>
      </c>
      <c r="F163" s="111" t="s">
        <v>153</v>
      </c>
      <c r="G163" s="111" t="s">
        <v>462</v>
      </c>
      <c r="H163" s="111"/>
      <c r="I163" s="78">
        <f t="shared" si="14"/>
        <v>0</v>
      </c>
      <c r="J163" s="78">
        <f t="shared" si="14"/>
        <v>0</v>
      </c>
      <c r="K163" s="348">
        <f t="shared" si="13"/>
        <v>0</v>
      </c>
      <c r="L163" s="78">
        <f t="shared" si="14"/>
        <v>0</v>
      </c>
      <c r="M163" s="78">
        <f t="shared" si="14"/>
        <v>0</v>
      </c>
      <c r="N163" s="346"/>
      <c r="O163" s="346"/>
    </row>
    <row r="164" spans="1:13" s="346" customFormat="1" ht="34.5" customHeight="1" hidden="1">
      <c r="A164" s="123" t="s">
        <v>758</v>
      </c>
      <c r="B164" s="347">
        <v>110</v>
      </c>
      <c r="C164" s="112" t="s">
        <v>61</v>
      </c>
      <c r="D164" s="111" t="s">
        <v>442</v>
      </c>
      <c r="E164" s="111" t="s">
        <v>338</v>
      </c>
      <c r="F164" s="111" t="s">
        <v>153</v>
      </c>
      <c r="G164" s="111" t="s">
        <v>462</v>
      </c>
      <c r="H164" s="111" t="s">
        <v>757</v>
      </c>
      <c r="I164" s="78"/>
      <c r="J164" s="351"/>
      <c r="K164" s="348">
        <f t="shared" si="13"/>
        <v>0</v>
      </c>
      <c r="L164" s="78"/>
      <c r="M164" s="78"/>
    </row>
    <row r="165" spans="1:13" s="346" customFormat="1" ht="18" customHeight="1">
      <c r="A165" s="139" t="s">
        <v>62</v>
      </c>
      <c r="B165" s="343" t="s">
        <v>24</v>
      </c>
      <c r="C165" s="107" t="s">
        <v>63</v>
      </c>
      <c r="D165" s="71"/>
      <c r="E165" s="71"/>
      <c r="F165" s="71"/>
      <c r="G165" s="71"/>
      <c r="H165" s="71"/>
      <c r="I165" s="37">
        <f>I166+I189+I214+I206</f>
        <v>35584.399999999994</v>
      </c>
      <c r="J165" s="37">
        <f>J166+J189+J214+J206</f>
        <v>39370.3</v>
      </c>
      <c r="K165" s="344">
        <f t="shared" si="13"/>
        <v>3785.9000000000087</v>
      </c>
      <c r="L165" s="37">
        <f>L166+L189+L214+L206</f>
        <v>16942.5</v>
      </c>
      <c r="M165" s="37">
        <f>M166+M189+M214+M206</f>
        <v>25534.8</v>
      </c>
    </row>
    <row r="166" spans="1:13" s="346" customFormat="1" ht="20.25" customHeight="1">
      <c r="A166" s="139" t="s">
        <v>64</v>
      </c>
      <c r="B166" s="343" t="s">
        <v>24</v>
      </c>
      <c r="C166" s="107" t="s">
        <v>65</v>
      </c>
      <c r="D166" s="71"/>
      <c r="E166" s="71"/>
      <c r="F166" s="71"/>
      <c r="G166" s="71"/>
      <c r="H166" s="71"/>
      <c r="I166" s="37">
        <f>I167</f>
        <v>11851.6</v>
      </c>
      <c r="J166" s="37">
        <f>J167</f>
        <v>11851.6</v>
      </c>
      <c r="K166" s="344">
        <f t="shared" si="13"/>
        <v>0</v>
      </c>
      <c r="L166" s="37">
        <f>L167</f>
        <v>7481.799999999999</v>
      </c>
      <c r="M166" s="37">
        <f>M167</f>
        <v>10988</v>
      </c>
    </row>
    <row r="167" spans="1:13" s="346" customFormat="1" ht="49.5" customHeight="1">
      <c r="A167" s="136" t="s">
        <v>296</v>
      </c>
      <c r="B167" s="343" t="s">
        <v>24</v>
      </c>
      <c r="C167" s="107" t="s">
        <v>65</v>
      </c>
      <c r="D167" s="71" t="s">
        <v>297</v>
      </c>
      <c r="E167" s="71" t="s">
        <v>154</v>
      </c>
      <c r="F167" s="71" t="s">
        <v>155</v>
      </c>
      <c r="G167" s="71" t="s">
        <v>156</v>
      </c>
      <c r="H167" s="71"/>
      <c r="I167" s="37">
        <f>I168+I174+I180</f>
        <v>11851.6</v>
      </c>
      <c r="J167" s="37">
        <f>J168+J174+J180</f>
        <v>11851.6</v>
      </c>
      <c r="K167" s="344">
        <f t="shared" si="13"/>
        <v>0</v>
      </c>
      <c r="L167" s="37">
        <f>L168+L174+L180</f>
        <v>7481.799999999999</v>
      </c>
      <c r="M167" s="37">
        <f>M168+M174+M180</f>
        <v>10988</v>
      </c>
    </row>
    <row r="168" spans="1:13" s="346" customFormat="1" ht="51" customHeight="1">
      <c r="A168" s="136" t="s">
        <v>906</v>
      </c>
      <c r="B168" s="343" t="s">
        <v>24</v>
      </c>
      <c r="C168" s="107" t="s">
        <v>65</v>
      </c>
      <c r="D168" s="71" t="s">
        <v>297</v>
      </c>
      <c r="E168" s="71" t="s">
        <v>136</v>
      </c>
      <c r="F168" s="71" t="s">
        <v>155</v>
      </c>
      <c r="G168" s="71" t="s">
        <v>156</v>
      </c>
      <c r="H168" s="71"/>
      <c r="I168" s="37">
        <f aca="true" t="shared" si="15" ref="I168:M170">I169</f>
        <v>7874.2</v>
      </c>
      <c r="J168" s="37">
        <f t="shared" si="15"/>
        <v>7874.2</v>
      </c>
      <c r="K168" s="344">
        <f t="shared" si="13"/>
        <v>0</v>
      </c>
      <c r="L168" s="37">
        <f t="shared" si="15"/>
        <v>3726.9999999999995</v>
      </c>
      <c r="M168" s="37">
        <f t="shared" si="15"/>
        <v>7146.2</v>
      </c>
    </row>
    <row r="169" spans="1:13" s="345" customFormat="1" ht="35.25" customHeight="1">
      <c r="A169" s="136" t="s">
        <v>965</v>
      </c>
      <c r="B169" s="343" t="s">
        <v>24</v>
      </c>
      <c r="C169" s="107" t="s">
        <v>65</v>
      </c>
      <c r="D169" s="71" t="s">
        <v>297</v>
      </c>
      <c r="E169" s="71" t="s">
        <v>136</v>
      </c>
      <c r="F169" s="71" t="s">
        <v>180</v>
      </c>
      <c r="G169" s="71" t="s">
        <v>156</v>
      </c>
      <c r="H169" s="71"/>
      <c r="I169" s="37">
        <f>I170+I173</f>
        <v>7874.2</v>
      </c>
      <c r="J169" s="37">
        <f>J170+J173</f>
        <v>7874.2</v>
      </c>
      <c r="K169" s="344">
        <f t="shared" si="13"/>
        <v>0</v>
      </c>
      <c r="L169" s="37">
        <f>L170+L173</f>
        <v>3726.9999999999995</v>
      </c>
      <c r="M169" s="37">
        <f>M170+M173</f>
        <v>7146.2</v>
      </c>
    </row>
    <row r="170" spans="1:13" s="346" customFormat="1" ht="23.25" customHeight="1">
      <c r="A170" s="123" t="s">
        <v>298</v>
      </c>
      <c r="B170" s="347" t="s">
        <v>24</v>
      </c>
      <c r="C170" s="112" t="s">
        <v>65</v>
      </c>
      <c r="D170" s="111" t="s">
        <v>297</v>
      </c>
      <c r="E170" s="111" t="s">
        <v>136</v>
      </c>
      <c r="F170" s="111" t="s">
        <v>180</v>
      </c>
      <c r="G170" s="111" t="s">
        <v>299</v>
      </c>
      <c r="H170" s="111"/>
      <c r="I170" s="78">
        <f t="shared" si="15"/>
        <v>3833.5</v>
      </c>
      <c r="J170" s="78">
        <f t="shared" si="15"/>
        <v>3833.5</v>
      </c>
      <c r="K170" s="348">
        <f t="shared" si="13"/>
        <v>0</v>
      </c>
      <c r="L170" s="78">
        <f t="shared" si="15"/>
        <v>1921.9</v>
      </c>
      <c r="M170" s="78">
        <f t="shared" si="15"/>
        <v>3500</v>
      </c>
    </row>
    <row r="171" spans="1:13" s="346" customFormat="1" ht="21" customHeight="1">
      <c r="A171" s="127" t="s">
        <v>759</v>
      </c>
      <c r="B171" s="347" t="s">
        <v>24</v>
      </c>
      <c r="C171" s="112" t="s">
        <v>65</v>
      </c>
      <c r="D171" s="111" t="s">
        <v>297</v>
      </c>
      <c r="E171" s="111" t="s">
        <v>136</v>
      </c>
      <c r="F171" s="111" t="s">
        <v>180</v>
      </c>
      <c r="G171" s="111" t="s">
        <v>299</v>
      </c>
      <c r="H171" s="111" t="s">
        <v>760</v>
      </c>
      <c r="I171" s="78">
        <v>3833.5</v>
      </c>
      <c r="J171" s="78">
        <v>3833.5</v>
      </c>
      <c r="K171" s="348">
        <f t="shared" si="13"/>
        <v>0</v>
      </c>
      <c r="L171" s="78">
        <f>3921.9-2000</f>
        <v>1921.9</v>
      </c>
      <c r="M171" s="78">
        <v>3500</v>
      </c>
    </row>
    <row r="172" spans="1:13" s="346" customFormat="1" ht="18.75" customHeight="1">
      <c r="A172" s="357" t="s">
        <v>908</v>
      </c>
      <c r="B172" s="347" t="s">
        <v>24</v>
      </c>
      <c r="C172" s="112" t="s">
        <v>65</v>
      </c>
      <c r="D172" s="111" t="s">
        <v>297</v>
      </c>
      <c r="E172" s="111" t="s">
        <v>136</v>
      </c>
      <c r="F172" s="111" t="s">
        <v>180</v>
      </c>
      <c r="G172" s="111" t="s">
        <v>300</v>
      </c>
      <c r="H172" s="111"/>
      <c r="I172" s="78">
        <f>I173</f>
        <v>4040.7</v>
      </c>
      <c r="J172" s="78">
        <f>J173</f>
        <v>4040.7</v>
      </c>
      <c r="K172" s="348">
        <f t="shared" si="13"/>
        <v>0</v>
      </c>
      <c r="L172" s="78">
        <f>L173</f>
        <v>1805.0999999999995</v>
      </c>
      <c r="M172" s="78">
        <f>M173</f>
        <v>3646.2</v>
      </c>
    </row>
    <row r="173" spans="1:13" s="346" customFormat="1" ht="21" customHeight="1">
      <c r="A173" s="127" t="s">
        <v>759</v>
      </c>
      <c r="B173" s="347" t="s">
        <v>24</v>
      </c>
      <c r="C173" s="112" t="s">
        <v>65</v>
      </c>
      <c r="D173" s="111" t="s">
        <v>297</v>
      </c>
      <c r="E173" s="111" t="s">
        <v>136</v>
      </c>
      <c r="F173" s="111" t="s">
        <v>180</v>
      </c>
      <c r="G173" s="111" t="s">
        <v>300</v>
      </c>
      <c r="H173" s="111" t="s">
        <v>760</v>
      </c>
      <c r="I173" s="78">
        <v>4040.7</v>
      </c>
      <c r="J173" s="78">
        <v>4040.7</v>
      </c>
      <c r="K173" s="348">
        <f t="shared" si="13"/>
        <v>0</v>
      </c>
      <c r="L173" s="78">
        <f>4133.9-2328.8</f>
        <v>1805.0999999999995</v>
      </c>
      <c r="M173" s="78">
        <v>3646.2</v>
      </c>
    </row>
    <row r="174" spans="1:13" s="345" customFormat="1" ht="33.75" customHeight="1">
      <c r="A174" s="109" t="s">
        <v>305</v>
      </c>
      <c r="B174" s="343">
        <v>110</v>
      </c>
      <c r="C174" s="107" t="s">
        <v>65</v>
      </c>
      <c r="D174" s="71" t="s">
        <v>297</v>
      </c>
      <c r="E174" s="71" t="s">
        <v>137</v>
      </c>
      <c r="F174" s="71" t="s">
        <v>155</v>
      </c>
      <c r="G174" s="71" t="s">
        <v>156</v>
      </c>
      <c r="H174" s="71"/>
      <c r="I174" s="37">
        <f aca="true" t="shared" si="16" ref="I174:M176">I175</f>
        <v>3125.9</v>
      </c>
      <c r="J174" s="37">
        <f t="shared" si="16"/>
        <v>3125.9</v>
      </c>
      <c r="K174" s="344">
        <f t="shared" si="13"/>
        <v>0</v>
      </c>
      <c r="L174" s="37">
        <f t="shared" si="16"/>
        <v>3140.8</v>
      </c>
      <c r="M174" s="37">
        <f t="shared" si="16"/>
        <v>3181.8</v>
      </c>
    </row>
    <row r="175" spans="1:13" s="345" customFormat="1" ht="34.5" customHeight="1">
      <c r="A175" s="163" t="s">
        <v>909</v>
      </c>
      <c r="B175" s="343">
        <v>110</v>
      </c>
      <c r="C175" s="107" t="s">
        <v>65</v>
      </c>
      <c r="D175" s="71" t="s">
        <v>297</v>
      </c>
      <c r="E175" s="71" t="s">
        <v>137</v>
      </c>
      <c r="F175" s="71" t="s">
        <v>153</v>
      </c>
      <c r="G175" s="71" t="s">
        <v>156</v>
      </c>
      <c r="H175" s="71"/>
      <c r="I175" s="37">
        <f>I176+I179</f>
        <v>3125.9</v>
      </c>
      <c r="J175" s="37">
        <f>J176+J179</f>
        <v>3125.9</v>
      </c>
      <c r="K175" s="344">
        <f t="shared" si="13"/>
        <v>0</v>
      </c>
      <c r="L175" s="37">
        <f>L176+L179</f>
        <v>3140.8</v>
      </c>
      <c r="M175" s="37">
        <f>M176+M179</f>
        <v>3181.8</v>
      </c>
    </row>
    <row r="176" spans="1:13" s="346" customFormat="1" ht="33" customHeight="1">
      <c r="A176" s="119" t="s">
        <v>306</v>
      </c>
      <c r="B176" s="347">
        <v>110</v>
      </c>
      <c r="C176" s="112" t="s">
        <v>65</v>
      </c>
      <c r="D176" s="111" t="s">
        <v>297</v>
      </c>
      <c r="E176" s="111" t="s">
        <v>137</v>
      </c>
      <c r="F176" s="111" t="s">
        <v>153</v>
      </c>
      <c r="G176" s="111" t="s">
        <v>307</v>
      </c>
      <c r="H176" s="111"/>
      <c r="I176" s="78">
        <f t="shared" si="16"/>
        <v>644.1</v>
      </c>
      <c r="J176" s="78">
        <f t="shared" si="16"/>
        <v>644.1</v>
      </c>
      <c r="K176" s="348">
        <f t="shared" si="13"/>
        <v>0</v>
      </c>
      <c r="L176" s="78">
        <f t="shared" si="16"/>
        <v>659</v>
      </c>
      <c r="M176" s="78">
        <f t="shared" si="16"/>
        <v>700</v>
      </c>
    </row>
    <row r="177" spans="1:13" s="346" customFormat="1" ht="21" customHeight="1">
      <c r="A177" s="119" t="s">
        <v>759</v>
      </c>
      <c r="B177" s="347">
        <v>110</v>
      </c>
      <c r="C177" s="112" t="s">
        <v>65</v>
      </c>
      <c r="D177" s="111" t="s">
        <v>297</v>
      </c>
      <c r="E177" s="111" t="s">
        <v>137</v>
      </c>
      <c r="F177" s="111" t="s">
        <v>153</v>
      </c>
      <c r="G177" s="111" t="s">
        <v>307</v>
      </c>
      <c r="H177" s="111" t="s">
        <v>760</v>
      </c>
      <c r="I177" s="78">
        <f>644.1</f>
        <v>644.1</v>
      </c>
      <c r="J177" s="78">
        <f>644.1</f>
        <v>644.1</v>
      </c>
      <c r="K177" s="348">
        <f t="shared" si="13"/>
        <v>0</v>
      </c>
      <c r="L177" s="78">
        <f>659</f>
        <v>659</v>
      </c>
      <c r="M177" s="78">
        <f>700</f>
        <v>700</v>
      </c>
    </row>
    <row r="178" spans="1:13" s="346" customFormat="1" ht="21" customHeight="1">
      <c r="A178" s="127" t="s">
        <v>303</v>
      </c>
      <c r="B178" s="347" t="s">
        <v>24</v>
      </c>
      <c r="C178" s="112" t="s">
        <v>65</v>
      </c>
      <c r="D178" s="111" t="s">
        <v>297</v>
      </c>
      <c r="E178" s="111" t="s">
        <v>137</v>
      </c>
      <c r="F178" s="111" t="s">
        <v>153</v>
      </c>
      <c r="G178" s="111" t="s">
        <v>304</v>
      </c>
      <c r="H178" s="111"/>
      <c r="I178" s="78">
        <f>I179</f>
        <v>2481.8</v>
      </c>
      <c r="J178" s="78">
        <f>J179</f>
        <v>2481.8</v>
      </c>
      <c r="K178" s="348">
        <f t="shared" si="13"/>
        <v>0</v>
      </c>
      <c r="L178" s="78">
        <f>L179</f>
        <v>2481.8</v>
      </c>
      <c r="M178" s="78">
        <f>M179</f>
        <v>2481.8</v>
      </c>
    </row>
    <row r="179" spans="1:13" s="346" customFormat="1" ht="21" customHeight="1">
      <c r="A179" s="127" t="s">
        <v>759</v>
      </c>
      <c r="B179" s="347" t="s">
        <v>24</v>
      </c>
      <c r="C179" s="112" t="s">
        <v>65</v>
      </c>
      <c r="D179" s="111" t="s">
        <v>297</v>
      </c>
      <c r="E179" s="111" t="s">
        <v>137</v>
      </c>
      <c r="F179" s="111" t="s">
        <v>153</v>
      </c>
      <c r="G179" s="111" t="s">
        <v>304</v>
      </c>
      <c r="H179" s="111" t="s">
        <v>760</v>
      </c>
      <c r="I179" s="78">
        <v>2481.8</v>
      </c>
      <c r="J179" s="78">
        <v>2481.8</v>
      </c>
      <c r="K179" s="348">
        <f t="shared" si="13"/>
        <v>0</v>
      </c>
      <c r="L179" s="78">
        <v>2481.8</v>
      </c>
      <c r="M179" s="78">
        <v>2481.8</v>
      </c>
    </row>
    <row r="180" spans="1:13" s="346" customFormat="1" ht="51.75" customHeight="1">
      <c r="A180" s="136" t="s">
        <v>772</v>
      </c>
      <c r="B180" s="343" t="s">
        <v>24</v>
      </c>
      <c r="C180" s="107" t="s">
        <v>65</v>
      </c>
      <c r="D180" s="71" t="s">
        <v>297</v>
      </c>
      <c r="E180" s="71" t="s">
        <v>140</v>
      </c>
      <c r="F180" s="71" t="s">
        <v>155</v>
      </c>
      <c r="G180" s="71" t="s">
        <v>156</v>
      </c>
      <c r="H180" s="71"/>
      <c r="I180" s="37">
        <f>I181</f>
        <v>851.5</v>
      </c>
      <c r="J180" s="37">
        <f>J181</f>
        <v>851.5</v>
      </c>
      <c r="K180" s="344">
        <f t="shared" si="13"/>
        <v>0</v>
      </c>
      <c r="L180" s="37">
        <f>L181</f>
        <v>614</v>
      </c>
      <c r="M180" s="37">
        <f>M181</f>
        <v>660</v>
      </c>
    </row>
    <row r="181" spans="1:13" s="345" customFormat="1" ht="50.25" customHeight="1">
      <c r="A181" s="136" t="s">
        <v>301</v>
      </c>
      <c r="B181" s="358" t="s">
        <v>24</v>
      </c>
      <c r="C181" s="359" t="s">
        <v>65</v>
      </c>
      <c r="D181" s="164" t="s">
        <v>297</v>
      </c>
      <c r="E181" s="164" t="s">
        <v>140</v>
      </c>
      <c r="F181" s="164" t="s">
        <v>153</v>
      </c>
      <c r="G181" s="164" t="s">
        <v>156</v>
      </c>
      <c r="H181" s="164"/>
      <c r="I181" s="88">
        <f>I182+I185+I187</f>
        <v>851.5</v>
      </c>
      <c r="J181" s="88">
        <f>J182+J185+J187</f>
        <v>851.5</v>
      </c>
      <c r="K181" s="344">
        <f t="shared" si="13"/>
        <v>0</v>
      </c>
      <c r="L181" s="88">
        <f>L182+L185+L187</f>
        <v>614</v>
      </c>
      <c r="M181" s="88">
        <f>M182+M185+M187</f>
        <v>660</v>
      </c>
    </row>
    <row r="182" spans="1:13" s="346" customFormat="1" ht="46.5" customHeight="1">
      <c r="A182" s="127" t="s">
        <v>929</v>
      </c>
      <c r="B182" s="347" t="s">
        <v>24</v>
      </c>
      <c r="C182" s="112" t="s">
        <v>65</v>
      </c>
      <c r="D182" s="111" t="s">
        <v>297</v>
      </c>
      <c r="E182" s="111" t="s">
        <v>140</v>
      </c>
      <c r="F182" s="21" t="s">
        <v>153</v>
      </c>
      <c r="G182" s="111" t="s">
        <v>302</v>
      </c>
      <c r="H182" s="111"/>
      <c r="I182" s="78">
        <f>I183+I184</f>
        <v>851.5</v>
      </c>
      <c r="J182" s="78">
        <f>J183+J184</f>
        <v>851.5</v>
      </c>
      <c r="K182" s="348">
        <f t="shared" si="13"/>
        <v>0</v>
      </c>
      <c r="L182" s="78">
        <f>L183+L184</f>
        <v>614</v>
      </c>
      <c r="M182" s="78">
        <f>M183+M184</f>
        <v>660</v>
      </c>
    </row>
    <row r="183" spans="1:13" s="346" customFormat="1" ht="32.25" customHeight="1">
      <c r="A183" s="123" t="s">
        <v>758</v>
      </c>
      <c r="B183" s="347" t="s">
        <v>24</v>
      </c>
      <c r="C183" s="112" t="s">
        <v>65</v>
      </c>
      <c r="D183" s="111" t="s">
        <v>297</v>
      </c>
      <c r="E183" s="111" t="s">
        <v>140</v>
      </c>
      <c r="F183" s="21" t="s">
        <v>153</v>
      </c>
      <c r="G183" s="111" t="s">
        <v>302</v>
      </c>
      <c r="H183" s="111" t="s">
        <v>757</v>
      </c>
      <c r="I183" s="78">
        <f>541.5+250</f>
        <v>791.5</v>
      </c>
      <c r="J183" s="78">
        <f>541.5+250</f>
        <v>791.5</v>
      </c>
      <c r="K183" s="348">
        <f t="shared" si="13"/>
        <v>0</v>
      </c>
      <c r="L183" s="78">
        <v>554</v>
      </c>
      <c r="M183" s="78">
        <v>600</v>
      </c>
    </row>
    <row r="184" spans="1:13" s="346" customFormat="1" ht="21" customHeight="1">
      <c r="A184" s="123" t="s">
        <v>762</v>
      </c>
      <c r="B184" s="347">
        <v>110</v>
      </c>
      <c r="C184" s="112" t="s">
        <v>65</v>
      </c>
      <c r="D184" s="111" t="s">
        <v>297</v>
      </c>
      <c r="E184" s="111" t="s">
        <v>140</v>
      </c>
      <c r="F184" s="21" t="s">
        <v>153</v>
      </c>
      <c r="G184" s="111" t="s">
        <v>302</v>
      </c>
      <c r="H184" s="111" t="s">
        <v>761</v>
      </c>
      <c r="I184" s="78">
        <v>60</v>
      </c>
      <c r="J184" s="78">
        <v>60</v>
      </c>
      <c r="K184" s="348">
        <f t="shared" si="13"/>
        <v>0</v>
      </c>
      <c r="L184" s="78">
        <v>60</v>
      </c>
      <c r="M184" s="78">
        <v>60</v>
      </c>
    </row>
    <row r="185" spans="1:15" s="346" customFormat="1" ht="22.5" customHeight="1" hidden="1">
      <c r="A185" s="119" t="s">
        <v>930</v>
      </c>
      <c r="B185" s="347">
        <v>110</v>
      </c>
      <c r="C185" s="112" t="s">
        <v>65</v>
      </c>
      <c r="D185" s="111" t="s">
        <v>297</v>
      </c>
      <c r="E185" s="111" t="s">
        <v>140</v>
      </c>
      <c r="F185" s="111" t="s">
        <v>153</v>
      </c>
      <c r="G185" s="111" t="s">
        <v>954</v>
      </c>
      <c r="H185" s="111"/>
      <c r="I185" s="78">
        <f>I186</f>
        <v>0</v>
      </c>
      <c r="J185" s="78">
        <f>J186</f>
        <v>0</v>
      </c>
      <c r="K185" s="348">
        <f t="shared" si="13"/>
        <v>0</v>
      </c>
      <c r="L185" s="78">
        <f>L186</f>
        <v>0</v>
      </c>
      <c r="M185" s="78">
        <f>M186</f>
        <v>0</v>
      </c>
      <c r="N185" s="345"/>
      <c r="O185" s="345"/>
    </row>
    <row r="186" spans="1:15" s="346" customFormat="1" ht="28.5" customHeight="1" hidden="1">
      <c r="A186" s="121" t="s">
        <v>758</v>
      </c>
      <c r="B186" s="347">
        <v>110</v>
      </c>
      <c r="C186" s="112" t="s">
        <v>65</v>
      </c>
      <c r="D186" s="111" t="s">
        <v>297</v>
      </c>
      <c r="E186" s="111" t="s">
        <v>140</v>
      </c>
      <c r="F186" s="111" t="s">
        <v>153</v>
      </c>
      <c r="G186" s="111" t="s">
        <v>954</v>
      </c>
      <c r="H186" s="111" t="s">
        <v>757</v>
      </c>
      <c r="I186" s="78"/>
      <c r="J186" s="78"/>
      <c r="K186" s="348">
        <f t="shared" si="13"/>
        <v>0</v>
      </c>
      <c r="L186" s="78"/>
      <c r="M186" s="78"/>
      <c r="N186" s="345"/>
      <c r="O186" s="345"/>
    </row>
    <row r="187" spans="1:15" s="346" customFormat="1" ht="26.25" customHeight="1" hidden="1">
      <c r="A187" s="127" t="s">
        <v>303</v>
      </c>
      <c r="B187" s="347" t="s">
        <v>24</v>
      </c>
      <c r="C187" s="112" t="s">
        <v>65</v>
      </c>
      <c r="D187" s="111" t="s">
        <v>297</v>
      </c>
      <c r="E187" s="111" t="s">
        <v>140</v>
      </c>
      <c r="F187" s="111" t="s">
        <v>153</v>
      </c>
      <c r="G187" s="111" t="s">
        <v>304</v>
      </c>
      <c r="H187" s="111"/>
      <c r="I187" s="131">
        <f>I188</f>
        <v>0</v>
      </c>
      <c r="J187" s="131">
        <f>J188</f>
        <v>0</v>
      </c>
      <c r="K187" s="348">
        <f t="shared" si="13"/>
        <v>0</v>
      </c>
      <c r="L187" s="131">
        <f>L188</f>
        <v>0</v>
      </c>
      <c r="M187" s="131">
        <f>M188</f>
        <v>0</v>
      </c>
      <c r="N187" s="345"/>
      <c r="O187" s="345"/>
    </row>
    <row r="188" spans="1:15" s="346" customFormat="1" ht="21.75" customHeight="1" hidden="1">
      <c r="A188" s="127" t="s">
        <v>759</v>
      </c>
      <c r="B188" s="347" t="s">
        <v>24</v>
      </c>
      <c r="C188" s="112" t="s">
        <v>65</v>
      </c>
      <c r="D188" s="111" t="s">
        <v>297</v>
      </c>
      <c r="E188" s="111" t="s">
        <v>140</v>
      </c>
      <c r="F188" s="111" t="s">
        <v>153</v>
      </c>
      <c r="G188" s="111" t="s">
        <v>304</v>
      </c>
      <c r="H188" s="111" t="s">
        <v>760</v>
      </c>
      <c r="I188" s="78"/>
      <c r="J188" s="78">
        <f>2481.8-2481.8</f>
        <v>0</v>
      </c>
      <c r="K188" s="348">
        <f t="shared" si="13"/>
        <v>0</v>
      </c>
      <c r="L188" s="78">
        <f>2481.8-2481.8</f>
        <v>0</v>
      </c>
      <c r="M188" s="78">
        <f>2481.8-2481.8</f>
        <v>0</v>
      </c>
      <c r="N188" s="345"/>
      <c r="O188" s="345"/>
    </row>
    <row r="189" spans="1:13" s="345" customFormat="1" ht="19.5" customHeight="1">
      <c r="A189" s="139" t="s">
        <v>66</v>
      </c>
      <c r="B189" s="343">
        <v>110</v>
      </c>
      <c r="C189" s="107" t="s">
        <v>67</v>
      </c>
      <c r="D189" s="71"/>
      <c r="E189" s="71"/>
      <c r="F189" s="71"/>
      <c r="G189" s="71"/>
      <c r="H189" s="71"/>
      <c r="I189" s="37">
        <f>I195+I190</f>
        <v>14000</v>
      </c>
      <c r="J189" s="37">
        <f>J195+J190</f>
        <v>14000</v>
      </c>
      <c r="K189" s="344">
        <f t="shared" si="13"/>
        <v>0</v>
      </c>
      <c r="L189" s="37">
        <f>L195+L190</f>
        <v>67.2</v>
      </c>
      <c r="M189" s="37">
        <f>M195+M190</f>
        <v>4874</v>
      </c>
    </row>
    <row r="190" spans="1:15" s="345" customFormat="1" ht="72.75" customHeight="1">
      <c r="A190" s="122" t="s">
        <v>973</v>
      </c>
      <c r="B190" s="343">
        <v>110</v>
      </c>
      <c r="C190" s="107" t="s">
        <v>67</v>
      </c>
      <c r="D190" s="71" t="s">
        <v>153</v>
      </c>
      <c r="E190" s="71" t="s">
        <v>154</v>
      </c>
      <c r="F190" s="71" t="s">
        <v>155</v>
      </c>
      <c r="G190" s="71" t="s">
        <v>156</v>
      </c>
      <c r="H190" s="71"/>
      <c r="I190" s="37">
        <f aca="true" t="shared" si="17" ref="I190:J193">I191</f>
        <v>14000</v>
      </c>
      <c r="J190" s="37">
        <f t="shared" si="17"/>
        <v>14000</v>
      </c>
      <c r="K190" s="344">
        <f t="shared" si="13"/>
        <v>0</v>
      </c>
      <c r="L190" s="37">
        <f aca="true" t="shared" si="18" ref="L190:M194">L191</f>
        <v>33.6</v>
      </c>
      <c r="M190" s="37">
        <f t="shared" si="18"/>
        <v>4874</v>
      </c>
      <c r="O190" s="349"/>
    </row>
    <row r="191" spans="1:13" s="345" customFormat="1" ht="36.75" customHeight="1">
      <c r="A191" s="122" t="s">
        <v>974</v>
      </c>
      <c r="B191" s="343">
        <v>110</v>
      </c>
      <c r="C191" s="107" t="s">
        <v>67</v>
      </c>
      <c r="D191" s="71" t="s">
        <v>153</v>
      </c>
      <c r="E191" s="71" t="s">
        <v>140</v>
      </c>
      <c r="F191" s="71" t="s">
        <v>155</v>
      </c>
      <c r="G191" s="71" t="s">
        <v>156</v>
      </c>
      <c r="H191" s="71"/>
      <c r="I191" s="37">
        <f t="shared" si="17"/>
        <v>14000</v>
      </c>
      <c r="J191" s="37">
        <f t="shared" si="17"/>
        <v>14000</v>
      </c>
      <c r="K191" s="344">
        <f t="shared" si="13"/>
        <v>0</v>
      </c>
      <c r="L191" s="37">
        <f t="shared" si="18"/>
        <v>33.6</v>
      </c>
      <c r="M191" s="37">
        <f t="shared" si="18"/>
        <v>4874</v>
      </c>
    </row>
    <row r="192" spans="1:13" s="345" customFormat="1" ht="32.25" customHeight="1">
      <c r="A192" s="122" t="s">
        <v>975</v>
      </c>
      <c r="B192" s="343">
        <v>110</v>
      </c>
      <c r="C192" s="107" t="s">
        <v>67</v>
      </c>
      <c r="D192" s="71" t="s">
        <v>153</v>
      </c>
      <c r="E192" s="71" t="s">
        <v>140</v>
      </c>
      <c r="F192" s="71" t="s">
        <v>153</v>
      </c>
      <c r="G192" s="71" t="s">
        <v>156</v>
      </c>
      <c r="H192" s="71"/>
      <c r="I192" s="37">
        <f t="shared" si="17"/>
        <v>14000</v>
      </c>
      <c r="J192" s="37">
        <f t="shared" si="17"/>
        <v>14000</v>
      </c>
      <c r="K192" s="344">
        <f t="shared" si="13"/>
        <v>0</v>
      </c>
      <c r="L192" s="37">
        <f t="shared" si="18"/>
        <v>33.6</v>
      </c>
      <c r="M192" s="37">
        <f t="shared" si="18"/>
        <v>4874</v>
      </c>
    </row>
    <row r="193" spans="1:13" s="345" customFormat="1" ht="36" customHeight="1">
      <c r="A193" s="123" t="s">
        <v>548</v>
      </c>
      <c r="B193" s="347">
        <v>110</v>
      </c>
      <c r="C193" s="112" t="s">
        <v>67</v>
      </c>
      <c r="D193" s="111" t="s">
        <v>153</v>
      </c>
      <c r="E193" s="111" t="s">
        <v>140</v>
      </c>
      <c r="F193" s="111" t="s">
        <v>153</v>
      </c>
      <c r="G193" s="111" t="s">
        <v>339</v>
      </c>
      <c r="H193" s="111"/>
      <c r="I193" s="78">
        <f t="shared" si="17"/>
        <v>14000</v>
      </c>
      <c r="J193" s="78">
        <f t="shared" si="17"/>
        <v>14000</v>
      </c>
      <c r="K193" s="348">
        <f t="shared" si="13"/>
        <v>0</v>
      </c>
      <c r="L193" s="78">
        <f t="shared" si="18"/>
        <v>33.6</v>
      </c>
      <c r="M193" s="78">
        <f t="shared" si="18"/>
        <v>4874</v>
      </c>
    </row>
    <row r="194" spans="1:13" s="346" customFormat="1" ht="30.75" customHeight="1">
      <c r="A194" s="123" t="s">
        <v>758</v>
      </c>
      <c r="B194" s="347">
        <v>110</v>
      </c>
      <c r="C194" s="112" t="s">
        <v>67</v>
      </c>
      <c r="D194" s="111" t="s">
        <v>153</v>
      </c>
      <c r="E194" s="111" t="s">
        <v>140</v>
      </c>
      <c r="F194" s="111" t="s">
        <v>153</v>
      </c>
      <c r="G194" s="111" t="s">
        <v>339</v>
      </c>
      <c r="H194" s="111" t="s">
        <v>757</v>
      </c>
      <c r="I194" s="78">
        <f>7280+6720</f>
        <v>14000</v>
      </c>
      <c r="J194" s="78">
        <f>7280+6720</f>
        <v>14000</v>
      </c>
      <c r="K194" s="348">
        <f t="shared" si="13"/>
        <v>0</v>
      </c>
      <c r="L194" s="78">
        <f t="shared" si="18"/>
        <v>33.6</v>
      </c>
      <c r="M194" s="78">
        <v>4874</v>
      </c>
    </row>
    <row r="195" spans="1:13" s="346" customFormat="1" ht="20.25" customHeight="1">
      <c r="A195" s="139" t="s">
        <v>441</v>
      </c>
      <c r="B195" s="343">
        <v>110</v>
      </c>
      <c r="C195" s="107" t="s">
        <v>67</v>
      </c>
      <c r="D195" s="71" t="s">
        <v>442</v>
      </c>
      <c r="E195" s="71" t="s">
        <v>154</v>
      </c>
      <c r="F195" s="71" t="s">
        <v>155</v>
      </c>
      <c r="G195" s="71" t="s">
        <v>156</v>
      </c>
      <c r="H195" s="71"/>
      <c r="I195" s="37">
        <f aca="true" t="shared" si="19" ref="I195:M198">I196</f>
        <v>0</v>
      </c>
      <c r="J195" s="37">
        <f t="shared" si="19"/>
        <v>0</v>
      </c>
      <c r="K195" s="344">
        <f t="shared" si="13"/>
        <v>0</v>
      </c>
      <c r="L195" s="37">
        <f t="shared" si="19"/>
        <v>33.6</v>
      </c>
      <c r="M195" s="37">
        <f t="shared" si="19"/>
        <v>0</v>
      </c>
    </row>
    <row r="196" spans="1:15" s="345" customFormat="1" ht="18.75" customHeight="1">
      <c r="A196" s="136" t="s">
        <v>410</v>
      </c>
      <c r="B196" s="343">
        <v>110</v>
      </c>
      <c r="C196" s="107" t="s">
        <v>67</v>
      </c>
      <c r="D196" s="71" t="s">
        <v>442</v>
      </c>
      <c r="E196" s="71" t="s">
        <v>338</v>
      </c>
      <c r="F196" s="71" t="s">
        <v>155</v>
      </c>
      <c r="G196" s="71" t="s">
        <v>156</v>
      </c>
      <c r="H196" s="71"/>
      <c r="I196" s="37">
        <f t="shared" si="19"/>
        <v>0</v>
      </c>
      <c r="J196" s="37">
        <f t="shared" si="19"/>
        <v>0</v>
      </c>
      <c r="K196" s="344">
        <f t="shared" si="13"/>
        <v>0</v>
      </c>
      <c r="L196" s="37">
        <f t="shared" si="19"/>
        <v>33.6</v>
      </c>
      <c r="M196" s="37">
        <f t="shared" si="19"/>
        <v>0</v>
      </c>
      <c r="N196" s="346"/>
      <c r="O196" s="346"/>
    </row>
    <row r="197" spans="1:13" s="345" customFormat="1" ht="19.5" customHeight="1">
      <c r="A197" s="137" t="s">
        <v>410</v>
      </c>
      <c r="B197" s="343">
        <v>110</v>
      </c>
      <c r="C197" s="107" t="s">
        <v>67</v>
      </c>
      <c r="D197" s="71" t="s">
        <v>442</v>
      </c>
      <c r="E197" s="71" t="s">
        <v>338</v>
      </c>
      <c r="F197" s="71" t="s">
        <v>153</v>
      </c>
      <c r="G197" s="71" t="s">
        <v>156</v>
      </c>
      <c r="H197" s="71"/>
      <c r="I197" s="37">
        <f t="shared" si="19"/>
        <v>0</v>
      </c>
      <c r="J197" s="37">
        <f>J199+J201+J203+J205</f>
        <v>0</v>
      </c>
      <c r="K197" s="344">
        <f t="shared" si="13"/>
        <v>0</v>
      </c>
      <c r="L197" s="37">
        <f>L198+L202</f>
        <v>33.6</v>
      </c>
      <c r="M197" s="37">
        <f>M198+M204</f>
        <v>0</v>
      </c>
    </row>
    <row r="198" spans="1:15" s="346" customFormat="1" ht="62.25" customHeight="1" hidden="1">
      <c r="A198" s="123" t="s">
        <v>322</v>
      </c>
      <c r="B198" s="347">
        <v>110</v>
      </c>
      <c r="C198" s="112" t="s">
        <v>67</v>
      </c>
      <c r="D198" s="111" t="s">
        <v>442</v>
      </c>
      <c r="E198" s="111" t="s">
        <v>338</v>
      </c>
      <c r="F198" s="111" t="s">
        <v>153</v>
      </c>
      <c r="G198" s="111" t="s">
        <v>323</v>
      </c>
      <c r="H198" s="111"/>
      <c r="I198" s="78">
        <f t="shared" si="19"/>
        <v>0</v>
      </c>
      <c r="J198" s="78">
        <f t="shared" si="19"/>
        <v>0</v>
      </c>
      <c r="K198" s="348">
        <f t="shared" si="13"/>
        <v>0</v>
      </c>
      <c r="L198" s="78">
        <f t="shared" si="19"/>
        <v>0</v>
      </c>
      <c r="M198" s="78">
        <f t="shared" si="19"/>
        <v>0</v>
      </c>
      <c r="N198" s="345"/>
      <c r="O198" s="345"/>
    </row>
    <row r="199" spans="1:13" s="346" customFormat="1" ht="22.5" customHeight="1" hidden="1">
      <c r="A199" s="127" t="s">
        <v>759</v>
      </c>
      <c r="B199" s="347">
        <v>110</v>
      </c>
      <c r="C199" s="112" t="s">
        <v>67</v>
      </c>
      <c r="D199" s="111" t="s">
        <v>442</v>
      </c>
      <c r="E199" s="111" t="s">
        <v>338</v>
      </c>
      <c r="F199" s="111" t="s">
        <v>153</v>
      </c>
      <c r="G199" s="111" t="s">
        <v>323</v>
      </c>
      <c r="H199" s="111" t="s">
        <v>760</v>
      </c>
      <c r="I199" s="78"/>
      <c r="J199" s="351"/>
      <c r="K199" s="348">
        <f t="shared" si="13"/>
        <v>0</v>
      </c>
      <c r="L199" s="78"/>
      <c r="M199" s="78"/>
    </row>
    <row r="200" spans="1:15" s="345" customFormat="1" ht="50.25" customHeight="1" hidden="1">
      <c r="A200" s="123" t="s">
        <v>444</v>
      </c>
      <c r="B200" s="347">
        <v>110</v>
      </c>
      <c r="C200" s="112" t="s">
        <v>67</v>
      </c>
      <c r="D200" s="111" t="s">
        <v>442</v>
      </c>
      <c r="E200" s="111" t="s">
        <v>338</v>
      </c>
      <c r="F200" s="111" t="s">
        <v>153</v>
      </c>
      <c r="G200" s="111" t="s">
        <v>445</v>
      </c>
      <c r="H200" s="111"/>
      <c r="I200" s="78">
        <f>I201</f>
        <v>0</v>
      </c>
      <c r="J200" s="78">
        <f>J201</f>
        <v>0</v>
      </c>
      <c r="K200" s="348">
        <f t="shared" si="13"/>
        <v>0</v>
      </c>
      <c r="L200" s="78">
        <f>L201</f>
        <v>0</v>
      </c>
      <c r="M200" s="78">
        <f>M201</f>
        <v>0</v>
      </c>
      <c r="N200" s="346"/>
      <c r="O200" s="346"/>
    </row>
    <row r="201" spans="1:13" s="346" customFormat="1" ht="17.25" customHeight="1" hidden="1">
      <c r="A201" s="127" t="s">
        <v>759</v>
      </c>
      <c r="B201" s="347">
        <v>110</v>
      </c>
      <c r="C201" s="112" t="s">
        <v>67</v>
      </c>
      <c r="D201" s="111" t="s">
        <v>442</v>
      </c>
      <c r="E201" s="111" t="s">
        <v>338</v>
      </c>
      <c r="F201" s="111" t="s">
        <v>153</v>
      </c>
      <c r="G201" s="111" t="s">
        <v>445</v>
      </c>
      <c r="H201" s="111" t="s">
        <v>760</v>
      </c>
      <c r="I201" s="78"/>
      <c r="J201" s="78"/>
      <c r="K201" s="348">
        <f t="shared" si="13"/>
        <v>0</v>
      </c>
      <c r="L201" s="78"/>
      <c r="M201" s="78"/>
    </row>
    <row r="202" spans="1:13" s="346" customFormat="1" ht="21" customHeight="1">
      <c r="A202" s="123" t="s">
        <v>469</v>
      </c>
      <c r="B202" s="347">
        <v>110</v>
      </c>
      <c r="C202" s="112" t="s">
        <v>67</v>
      </c>
      <c r="D202" s="111" t="s">
        <v>442</v>
      </c>
      <c r="E202" s="111" t="s">
        <v>338</v>
      </c>
      <c r="F202" s="111" t="s">
        <v>153</v>
      </c>
      <c r="G202" s="111" t="s">
        <v>470</v>
      </c>
      <c r="H202" s="111"/>
      <c r="I202" s="78">
        <f>I203</f>
        <v>0</v>
      </c>
      <c r="J202" s="78">
        <f>J203</f>
        <v>0</v>
      </c>
      <c r="K202" s="348">
        <f t="shared" si="13"/>
        <v>0</v>
      </c>
      <c r="L202" s="78">
        <f>L203</f>
        <v>33.6</v>
      </c>
      <c r="M202" s="78">
        <f>M203</f>
        <v>0</v>
      </c>
    </row>
    <row r="203" spans="1:13" s="346" customFormat="1" ht="30.75" customHeight="1">
      <c r="A203" s="123" t="s">
        <v>758</v>
      </c>
      <c r="B203" s="347">
        <v>110</v>
      </c>
      <c r="C203" s="112" t="s">
        <v>67</v>
      </c>
      <c r="D203" s="111" t="s">
        <v>442</v>
      </c>
      <c r="E203" s="111" t="s">
        <v>338</v>
      </c>
      <c r="F203" s="111" t="s">
        <v>153</v>
      </c>
      <c r="G203" s="111" t="s">
        <v>470</v>
      </c>
      <c r="H203" s="111" t="s">
        <v>757</v>
      </c>
      <c r="I203" s="78"/>
      <c r="J203" s="78"/>
      <c r="K203" s="348">
        <f t="shared" si="13"/>
        <v>0</v>
      </c>
      <c r="L203" s="78">
        <v>33.6</v>
      </c>
      <c r="M203" s="78"/>
    </row>
    <row r="204" spans="1:13" s="346" customFormat="1" ht="36.75" customHeight="1" hidden="1">
      <c r="A204" s="123" t="s">
        <v>865</v>
      </c>
      <c r="B204" s="347">
        <v>110</v>
      </c>
      <c r="C204" s="112" t="s">
        <v>67</v>
      </c>
      <c r="D204" s="111" t="s">
        <v>442</v>
      </c>
      <c r="E204" s="111" t="s">
        <v>338</v>
      </c>
      <c r="F204" s="111" t="s">
        <v>153</v>
      </c>
      <c r="G204" s="111" t="s">
        <v>784</v>
      </c>
      <c r="H204" s="111"/>
      <c r="I204" s="78">
        <f>I205</f>
        <v>0</v>
      </c>
      <c r="J204" s="78">
        <f>J205</f>
        <v>0</v>
      </c>
      <c r="K204" s="348">
        <f t="shared" si="13"/>
        <v>0</v>
      </c>
      <c r="L204" s="78">
        <f>L205</f>
        <v>0</v>
      </c>
      <c r="M204" s="78">
        <f>M205</f>
        <v>0</v>
      </c>
    </row>
    <row r="205" spans="1:13" s="346" customFormat="1" ht="33" customHeight="1" hidden="1">
      <c r="A205" s="123" t="s">
        <v>758</v>
      </c>
      <c r="B205" s="347">
        <v>110</v>
      </c>
      <c r="C205" s="112" t="s">
        <v>67</v>
      </c>
      <c r="D205" s="111" t="s">
        <v>442</v>
      </c>
      <c r="E205" s="111" t="s">
        <v>338</v>
      </c>
      <c r="F205" s="111" t="s">
        <v>153</v>
      </c>
      <c r="G205" s="111" t="s">
        <v>784</v>
      </c>
      <c r="H205" s="111" t="s">
        <v>757</v>
      </c>
      <c r="I205" s="78"/>
      <c r="J205" s="78">
        <f>7280-7280</f>
        <v>0</v>
      </c>
      <c r="K205" s="348">
        <f t="shared" si="13"/>
        <v>0</v>
      </c>
      <c r="L205" s="78"/>
      <c r="M205" s="78">
        <f>4874-4874</f>
        <v>0</v>
      </c>
    </row>
    <row r="206" spans="1:13" s="345" customFormat="1" ht="21" customHeight="1">
      <c r="A206" s="137" t="s">
        <v>68</v>
      </c>
      <c r="B206" s="343">
        <v>110</v>
      </c>
      <c r="C206" s="107" t="s">
        <v>69</v>
      </c>
      <c r="D206" s="71"/>
      <c r="E206" s="71"/>
      <c r="F206" s="71"/>
      <c r="G206" s="71"/>
      <c r="H206" s="71"/>
      <c r="I206" s="37">
        <f aca="true" t="shared" si="20" ref="I206:J210">I207</f>
        <v>0</v>
      </c>
      <c r="J206" s="37">
        <f t="shared" si="20"/>
        <v>0</v>
      </c>
      <c r="K206" s="344">
        <f t="shared" si="13"/>
        <v>0</v>
      </c>
      <c r="L206" s="37">
        <f aca="true" t="shared" si="21" ref="L206:M210">L207</f>
        <v>22.5</v>
      </c>
      <c r="M206" s="37">
        <f t="shared" si="21"/>
        <v>3656</v>
      </c>
    </row>
    <row r="207" spans="1:13" s="345" customFormat="1" ht="64.5" customHeight="1">
      <c r="A207" s="137" t="s">
        <v>973</v>
      </c>
      <c r="B207" s="343">
        <v>110</v>
      </c>
      <c r="C207" s="107" t="s">
        <v>69</v>
      </c>
      <c r="D207" s="71" t="s">
        <v>153</v>
      </c>
      <c r="E207" s="71" t="s">
        <v>154</v>
      </c>
      <c r="F207" s="71" t="s">
        <v>155</v>
      </c>
      <c r="G207" s="71" t="s">
        <v>156</v>
      </c>
      <c r="H207" s="71"/>
      <c r="I207" s="37">
        <f t="shared" si="20"/>
        <v>0</v>
      </c>
      <c r="J207" s="37">
        <f t="shared" si="20"/>
        <v>0</v>
      </c>
      <c r="K207" s="344">
        <f t="shared" si="13"/>
        <v>0</v>
      </c>
      <c r="L207" s="37">
        <f t="shared" si="21"/>
        <v>22.5</v>
      </c>
      <c r="M207" s="37">
        <f t="shared" si="21"/>
        <v>3656</v>
      </c>
    </row>
    <row r="208" spans="1:13" s="346" customFormat="1" ht="36" customHeight="1">
      <c r="A208" s="122" t="s">
        <v>974</v>
      </c>
      <c r="B208" s="343">
        <v>110</v>
      </c>
      <c r="C208" s="107" t="s">
        <v>69</v>
      </c>
      <c r="D208" s="71" t="s">
        <v>153</v>
      </c>
      <c r="E208" s="71" t="s">
        <v>140</v>
      </c>
      <c r="F208" s="71" t="s">
        <v>155</v>
      </c>
      <c r="G208" s="71" t="s">
        <v>156</v>
      </c>
      <c r="H208" s="111"/>
      <c r="I208" s="37">
        <f t="shared" si="20"/>
        <v>0</v>
      </c>
      <c r="J208" s="37">
        <f t="shared" si="20"/>
        <v>0</v>
      </c>
      <c r="K208" s="344">
        <f t="shared" si="13"/>
        <v>0</v>
      </c>
      <c r="L208" s="37">
        <f t="shared" si="21"/>
        <v>22.5</v>
      </c>
      <c r="M208" s="37">
        <f t="shared" si="21"/>
        <v>3656</v>
      </c>
    </row>
    <row r="209" spans="1:13" s="346" customFormat="1" ht="36" customHeight="1">
      <c r="A209" s="122" t="s">
        <v>975</v>
      </c>
      <c r="B209" s="343">
        <v>110</v>
      </c>
      <c r="C209" s="107" t="s">
        <v>69</v>
      </c>
      <c r="D209" s="71" t="s">
        <v>153</v>
      </c>
      <c r="E209" s="71" t="s">
        <v>140</v>
      </c>
      <c r="F209" s="71" t="s">
        <v>166</v>
      </c>
      <c r="G209" s="71" t="s">
        <v>156</v>
      </c>
      <c r="H209" s="111"/>
      <c r="I209" s="37">
        <f>I210+I212</f>
        <v>0</v>
      </c>
      <c r="J209" s="37">
        <f>J210+J212</f>
        <v>0</v>
      </c>
      <c r="K209" s="344">
        <f t="shared" si="13"/>
        <v>0</v>
      </c>
      <c r="L209" s="37">
        <f>L210+L212</f>
        <v>22.5</v>
      </c>
      <c r="M209" s="37">
        <f>M210+M212</f>
        <v>3656</v>
      </c>
    </row>
    <row r="210" spans="1:13" s="346" customFormat="1" ht="38.25" customHeight="1">
      <c r="A210" s="22" t="s">
        <v>976</v>
      </c>
      <c r="B210" s="347">
        <v>110</v>
      </c>
      <c r="C210" s="112" t="s">
        <v>69</v>
      </c>
      <c r="D210" s="111" t="s">
        <v>153</v>
      </c>
      <c r="E210" s="111" t="s">
        <v>140</v>
      </c>
      <c r="F210" s="111" t="s">
        <v>166</v>
      </c>
      <c r="G210" s="111" t="s">
        <v>977</v>
      </c>
      <c r="H210" s="111"/>
      <c r="I210" s="78">
        <f t="shared" si="20"/>
        <v>0</v>
      </c>
      <c r="J210" s="78">
        <f t="shared" si="20"/>
        <v>0</v>
      </c>
      <c r="K210" s="348">
        <f t="shared" si="13"/>
        <v>0</v>
      </c>
      <c r="L210" s="78">
        <f t="shared" si="21"/>
        <v>0</v>
      </c>
      <c r="M210" s="78">
        <f t="shared" si="21"/>
        <v>3633.5</v>
      </c>
    </row>
    <row r="211" spans="1:13" s="346" customFormat="1" ht="32.25" customHeight="1">
      <c r="A211" s="123" t="s">
        <v>758</v>
      </c>
      <c r="B211" s="347">
        <v>110</v>
      </c>
      <c r="C211" s="112" t="s">
        <v>69</v>
      </c>
      <c r="D211" s="111" t="s">
        <v>153</v>
      </c>
      <c r="E211" s="111" t="s">
        <v>140</v>
      </c>
      <c r="F211" s="111" t="s">
        <v>166</v>
      </c>
      <c r="G211" s="111" t="s">
        <v>977</v>
      </c>
      <c r="H211" s="111" t="s">
        <v>757</v>
      </c>
      <c r="I211" s="78"/>
      <c r="J211" s="78"/>
      <c r="K211" s="348">
        <f t="shared" si="13"/>
        <v>0</v>
      </c>
      <c r="L211" s="78"/>
      <c r="M211" s="78">
        <v>3633.5</v>
      </c>
    </row>
    <row r="212" spans="1:13" s="346" customFormat="1" ht="24" customHeight="1">
      <c r="A212" s="123" t="s">
        <v>1143</v>
      </c>
      <c r="B212" s="347">
        <v>110</v>
      </c>
      <c r="C212" s="112" t="s">
        <v>69</v>
      </c>
      <c r="D212" s="111" t="s">
        <v>153</v>
      </c>
      <c r="E212" s="111" t="s">
        <v>140</v>
      </c>
      <c r="F212" s="111" t="s">
        <v>166</v>
      </c>
      <c r="G212" s="111" t="s">
        <v>670</v>
      </c>
      <c r="H212" s="111"/>
      <c r="I212" s="78">
        <f>I213</f>
        <v>0</v>
      </c>
      <c r="J212" s="78">
        <f>J213</f>
        <v>0</v>
      </c>
      <c r="K212" s="348">
        <f t="shared" si="13"/>
        <v>0</v>
      </c>
      <c r="L212" s="78">
        <f>L213</f>
        <v>22.5</v>
      </c>
      <c r="M212" s="78">
        <f>M213</f>
        <v>22.5</v>
      </c>
    </row>
    <row r="213" spans="1:13" s="346" customFormat="1" ht="32.25" customHeight="1">
      <c r="A213" s="123" t="s">
        <v>758</v>
      </c>
      <c r="B213" s="347">
        <v>110</v>
      </c>
      <c r="C213" s="112" t="s">
        <v>69</v>
      </c>
      <c r="D213" s="111" t="s">
        <v>153</v>
      </c>
      <c r="E213" s="111" t="s">
        <v>140</v>
      </c>
      <c r="F213" s="111" t="s">
        <v>166</v>
      </c>
      <c r="G213" s="111" t="s">
        <v>670</v>
      </c>
      <c r="H213" s="111" t="s">
        <v>757</v>
      </c>
      <c r="I213" s="78">
        <f>22.5-22.5</f>
        <v>0</v>
      </c>
      <c r="J213" s="78">
        <f>22.5-22.5</f>
        <v>0</v>
      </c>
      <c r="K213" s="348">
        <f t="shared" si="13"/>
        <v>0</v>
      </c>
      <c r="L213" s="78">
        <v>22.5</v>
      </c>
      <c r="M213" s="78">
        <v>22.5</v>
      </c>
    </row>
    <row r="214" spans="1:15" s="346" customFormat="1" ht="18" customHeight="1">
      <c r="A214" s="139" t="s">
        <v>72</v>
      </c>
      <c r="B214" s="343" t="s">
        <v>24</v>
      </c>
      <c r="C214" s="107" t="s">
        <v>73</v>
      </c>
      <c r="D214" s="71"/>
      <c r="E214" s="71"/>
      <c r="F214" s="71"/>
      <c r="G214" s="71"/>
      <c r="H214" s="71"/>
      <c r="I214" s="37">
        <f>I215+I220+I231+I251</f>
        <v>9732.8</v>
      </c>
      <c r="J214" s="37">
        <f>J215+J220+J231+J251</f>
        <v>13518.7</v>
      </c>
      <c r="K214" s="344">
        <f t="shared" si="13"/>
        <v>3785.9000000000015</v>
      </c>
      <c r="L214" s="37">
        <f>L215+L220+L231+L251</f>
        <v>9371</v>
      </c>
      <c r="M214" s="37">
        <f>M215+M220+M231+M251</f>
        <v>6016.799999999999</v>
      </c>
      <c r="N214" s="345"/>
      <c r="O214" s="345"/>
    </row>
    <row r="215" spans="1:15" s="346" customFormat="1" ht="48.75" customHeight="1">
      <c r="A215" s="139" t="s">
        <v>296</v>
      </c>
      <c r="B215" s="343" t="s">
        <v>24</v>
      </c>
      <c r="C215" s="107" t="s">
        <v>73</v>
      </c>
      <c r="D215" s="71" t="s">
        <v>297</v>
      </c>
      <c r="E215" s="71" t="s">
        <v>154</v>
      </c>
      <c r="F215" s="71" t="s">
        <v>155</v>
      </c>
      <c r="G215" s="71" t="s">
        <v>156</v>
      </c>
      <c r="H215" s="71"/>
      <c r="I215" s="37">
        <f aca="true" t="shared" si="22" ref="I215:M218">I216</f>
        <v>414.4</v>
      </c>
      <c r="J215" s="37">
        <f t="shared" si="22"/>
        <v>414.4</v>
      </c>
      <c r="K215" s="344">
        <f t="shared" si="13"/>
        <v>0</v>
      </c>
      <c r="L215" s="37">
        <f t="shared" si="22"/>
        <v>424</v>
      </c>
      <c r="M215" s="37">
        <f t="shared" si="22"/>
        <v>440</v>
      </c>
      <c r="N215" s="345"/>
      <c r="O215" s="349"/>
    </row>
    <row r="216" spans="1:13" s="345" customFormat="1" ht="33" customHeight="1">
      <c r="A216" s="136" t="s">
        <v>305</v>
      </c>
      <c r="B216" s="343" t="s">
        <v>24</v>
      </c>
      <c r="C216" s="107" t="s">
        <v>73</v>
      </c>
      <c r="D216" s="71" t="s">
        <v>297</v>
      </c>
      <c r="E216" s="71" t="s">
        <v>137</v>
      </c>
      <c r="F216" s="71" t="s">
        <v>155</v>
      </c>
      <c r="G216" s="71" t="s">
        <v>156</v>
      </c>
      <c r="H216" s="71"/>
      <c r="I216" s="37">
        <f t="shared" si="22"/>
        <v>414.4</v>
      </c>
      <c r="J216" s="37">
        <f t="shared" si="22"/>
        <v>414.4</v>
      </c>
      <c r="K216" s="344">
        <f t="shared" si="13"/>
        <v>0</v>
      </c>
      <c r="L216" s="37">
        <f t="shared" si="22"/>
        <v>424</v>
      </c>
      <c r="M216" s="37">
        <f t="shared" si="22"/>
        <v>440</v>
      </c>
    </row>
    <row r="217" spans="1:13" s="345" customFormat="1" ht="36" customHeight="1">
      <c r="A217" s="136" t="s">
        <v>966</v>
      </c>
      <c r="B217" s="343" t="s">
        <v>24</v>
      </c>
      <c r="C217" s="107" t="s">
        <v>73</v>
      </c>
      <c r="D217" s="71" t="s">
        <v>297</v>
      </c>
      <c r="E217" s="71" t="s">
        <v>137</v>
      </c>
      <c r="F217" s="71" t="s">
        <v>153</v>
      </c>
      <c r="G217" s="71" t="s">
        <v>156</v>
      </c>
      <c r="H217" s="71"/>
      <c r="I217" s="37">
        <f t="shared" si="22"/>
        <v>414.4</v>
      </c>
      <c r="J217" s="37">
        <f t="shared" si="22"/>
        <v>414.4</v>
      </c>
      <c r="K217" s="344">
        <f t="shared" si="13"/>
        <v>0</v>
      </c>
      <c r="L217" s="37">
        <f t="shared" si="22"/>
        <v>424</v>
      </c>
      <c r="M217" s="37">
        <f t="shared" si="22"/>
        <v>440</v>
      </c>
    </row>
    <row r="218" spans="1:15" s="345" customFormat="1" ht="36.75" customHeight="1">
      <c r="A218" s="127" t="s">
        <v>493</v>
      </c>
      <c r="B218" s="347" t="s">
        <v>24</v>
      </c>
      <c r="C218" s="112" t="s">
        <v>73</v>
      </c>
      <c r="D218" s="111" t="s">
        <v>297</v>
      </c>
      <c r="E218" s="111" t="s">
        <v>137</v>
      </c>
      <c r="F218" s="111" t="s">
        <v>153</v>
      </c>
      <c r="G218" s="111" t="s">
        <v>308</v>
      </c>
      <c r="H218" s="111"/>
      <c r="I218" s="78">
        <f t="shared" si="22"/>
        <v>414.4</v>
      </c>
      <c r="J218" s="78">
        <f t="shared" si="22"/>
        <v>414.4</v>
      </c>
      <c r="K218" s="348">
        <f t="shared" si="13"/>
        <v>0</v>
      </c>
      <c r="L218" s="78">
        <f t="shared" si="22"/>
        <v>424</v>
      </c>
      <c r="M218" s="78">
        <f t="shared" si="22"/>
        <v>440</v>
      </c>
      <c r="N218" s="346"/>
      <c r="O218" s="346"/>
    </row>
    <row r="219" spans="1:13" s="346" customFormat="1" ht="33" customHeight="1">
      <c r="A219" s="127" t="s">
        <v>763</v>
      </c>
      <c r="B219" s="347" t="s">
        <v>24</v>
      </c>
      <c r="C219" s="112" t="s">
        <v>73</v>
      </c>
      <c r="D219" s="111" t="s">
        <v>297</v>
      </c>
      <c r="E219" s="111" t="s">
        <v>137</v>
      </c>
      <c r="F219" s="111" t="s">
        <v>153</v>
      </c>
      <c r="G219" s="111" t="s">
        <v>308</v>
      </c>
      <c r="H219" s="111" t="s">
        <v>764</v>
      </c>
      <c r="I219" s="78">
        <v>414.4</v>
      </c>
      <c r="J219" s="78">
        <v>414.4</v>
      </c>
      <c r="K219" s="348">
        <f t="shared" si="13"/>
        <v>0</v>
      </c>
      <c r="L219" s="78">
        <v>424</v>
      </c>
      <c r="M219" s="78">
        <v>440</v>
      </c>
    </row>
    <row r="220" spans="1:13" s="346" customFormat="1" ht="48.75" customHeight="1">
      <c r="A220" s="139" t="s">
        <v>340</v>
      </c>
      <c r="B220" s="343" t="s">
        <v>24</v>
      </c>
      <c r="C220" s="107" t="s">
        <v>73</v>
      </c>
      <c r="D220" s="71" t="s">
        <v>309</v>
      </c>
      <c r="E220" s="71" t="s">
        <v>154</v>
      </c>
      <c r="F220" s="71" t="s">
        <v>155</v>
      </c>
      <c r="G220" s="71" t="s">
        <v>156</v>
      </c>
      <c r="H220" s="71"/>
      <c r="I220" s="37">
        <f>I227+I221</f>
        <v>6383</v>
      </c>
      <c r="J220" s="37">
        <f>J227+J221</f>
        <v>10168.9</v>
      </c>
      <c r="K220" s="344">
        <f t="shared" si="13"/>
        <v>3785.8999999999996</v>
      </c>
      <c r="L220" s="37">
        <f>L227+L221</f>
        <v>5584.9</v>
      </c>
      <c r="M220" s="37">
        <f>M227+M221</f>
        <v>2084.9</v>
      </c>
    </row>
    <row r="221" spans="1:13" s="346" customFormat="1" ht="48.75" customHeight="1">
      <c r="A221" s="139" t="s">
        <v>1022</v>
      </c>
      <c r="B221" s="343" t="s">
        <v>24</v>
      </c>
      <c r="C221" s="107" t="s">
        <v>73</v>
      </c>
      <c r="D221" s="71" t="s">
        <v>309</v>
      </c>
      <c r="E221" s="71" t="s">
        <v>136</v>
      </c>
      <c r="F221" s="71" t="s">
        <v>155</v>
      </c>
      <c r="G221" s="71" t="s">
        <v>156</v>
      </c>
      <c r="H221" s="71"/>
      <c r="I221" s="37">
        <f>I222</f>
        <v>6300</v>
      </c>
      <c r="J221" s="37">
        <f>J222</f>
        <v>10085.9</v>
      </c>
      <c r="K221" s="344">
        <f t="shared" si="13"/>
        <v>3785.8999999999996</v>
      </c>
      <c r="L221" s="37">
        <f>L222</f>
        <v>5500</v>
      </c>
      <c r="M221" s="37">
        <f>M222</f>
        <v>2000</v>
      </c>
    </row>
    <row r="222" spans="1:13" s="346" customFormat="1" ht="36" customHeight="1">
      <c r="A222" s="139" t="s">
        <v>981</v>
      </c>
      <c r="B222" s="343" t="s">
        <v>24</v>
      </c>
      <c r="C222" s="107" t="s">
        <v>73</v>
      </c>
      <c r="D222" s="71" t="s">
        <v>309</v>
      </c>
      <c r="E222" s="71" t="s">
        <v>136</v>
      </c>
      <c r="F222" s="71" t="s">
        <v>297</v>
      </c>
      <c r="G222" s="71" t="s">
        <v>156</v>
      </c>
      <c r="H222" s="71"/>
      <c r="I222" s="37">
        <f>I223+I225</f>
        <v>6300</v>
      </c>
      <c r="J222" s="37">
        <f>J223+J225</f>
        <v>10085.9</v>
      </c>
      <c r="K222" s="344">
        <f t="shared" si="13"/>
        <v>3785.8999999999996</v>
      </c>
      <c r="L222" s="37">
        <f>L223+L225</f>
        <v>5500</v>
      </c>
      <c r="M222" s="37">
        <f>M223+M225</f>
        <v>2000</v>
      </c>
    </row>
    <row r="223" spans="1:13" s="346" customFormat="1" ht="35.25" customHeight="1">
      <c r="A223" s="121" t="s">
        <v>982</v>
      </c>
      <c r="B223" s="347" t="s">
        <v>24</v>
      </c>
      <c r="C223" s="112" t="s">
        <v>73</v>
      </c>
      <c r="D223" s="111" t="s">
        <v>309</v>
      </c>
      <c r="E223" s="111" t="s">
        <v>136</v>
      </c>
      <c r="F223" s="111" t="s">
        <v>297</v>
      </c>
      <c r="G223" s="111" t="s">
        <v>471</v>
      </c>
      <c r="H223" s="111"/>
      <c r="I223" s="78">
        <f>I224</f>
        <v>3300</v>
      </c>
      <c r="J223" s="78">
        <f>J224</f>
        <v>7085.9</v>
      </c>
      <c r="K223" s="348">
        <f t="shared" si="13"/>
        <v>3785.8999999999996</v>
      </c>
      <c r="L223" s="78">
        <f>L224</f>
        <v>2000</v>
      </c>
      <c r="M223" s="78">
        <f>M224</f>
        <v>0</v>
      </c>
    </row>
    <row r="224" spans="1:13" s="346" customFormat="1" ht="33" customHeight="1">
      <c r="A224" s="121" t="s">
        <v>758</v>
      </c>
      <c r="B224" s="347" t="s">
        <v>24</v>
      </c>
      <c r="C224" s="112" t="s">
        <v>73</v>
      </c>
      <c r="D224" s="111" t="s">
        <v>309</v>
      </c>
      <c r="E224" s="111" t="s">
        <v>136</v>
      </c>
      <c r="F224" s="111" t="s">
        <v>297</v>
      </c>
      <c r="G224" s="111" t="s">
        <v>471</v>
      </c>
      <c r="H224" s="111" t="s">
        <v>757</v>
      </c>
      <c r="I224" s="78">
        <v>3300</v>
      </c>
      <c r="J224" s="78">
        <f>3300+3785.9</f>
        <v>7085.9</v>
      </c>
      <c r="K224" s="348">
        <f t="shared" si="13"/>
        <v>3785.8999999999996</v>
      </c>
      <c r="L224" s="78">
        <v>2000</v>
      </c>
      <c r="M224" s="78"/>
    </row>
    <row r="225" spans="1:13" s="346" customFormat="1" ht="36" customHeight="1">
      <c r="A225" s="121" t="s">
        <v>983</v>
      </c>
      <c r="B225" s="347" t="s">
        <v>24</v>
      </c>
      <c r="C225" s="112" t="s">
        <v>73</v>
      </c>
      <c r="D225" s="111" t="s">
        <v>309</v>
      </c>
      <c r="E225" s="111" t="s">
        <v>136</v>
      </c>
      <c r="F225" s="111" t="s">
        <v>297</v>
      </c>
      <c r="G225" s="111" t="s">
        <v>779</v>
      </c>
      <c r="H225" s="111"/>
      <c r="I225" s="78">
        <f>I226</f>
        <v>3000</v>
      </c>
      <c r="J225" s="78">
        <f>J226</f>
        <v>3000</v>
      </c>
      <c r="K225" s="348">
        <f t="shared" si="13"/>
        <v>0</v>
      </c>
      <c r="L225" s="78">
        <f>L226</f>
        <v>3500</v>
      </c>
      <c r="M225" s="78">
        <f>M226</f>
        <v>2000</v>
      </c>
    </row>
    <row r="226" spans="1:13" s="346" customFormat="1" ht="30.75" customHeight="1">
      <c r="A226" s="121" t="s">
        <v>758</v>
      </c>
      <c r="B226" s="347" t="s">
        <v>24</v>
      </c>
      <c r="C226" s="112" t="s">
        <v>73</v>
      </c>
      <c r="D226" s="111" t="s">
        <v>309</v>
      </c>
      <c r="E226" s="111" t="s">
        <v>136</v>
      </c>
      <c r="F226" s="111" t="s">
        <v>297</v>
      </c>
      <c r="G226" s="111" t="s">
        <v>779</v>
      </c>
      <c r="H226" s="111" t="s">
        <v>757</v>
      </c>
      <c r="I226" s="78">
        <v>3000</v>
      </c>
      <c r="J226" s="78">
        <v>3000</v>
      </c>
      <c r="K226" s="348">
        <f t="shared" si="13"/>
        <v>0</v>
      </c>
      <c r="L226" s="78">
        <v>3500</v>
      </c>
      <c r="M226" s="78">
        <v>2000</v>
      </c>
    </row>
    <row r="227" spans="1:13" s="346" customFormat="1" ht="37.5" customHeight="1">
      <c r="A227" s="136" t="s">
        <v>963</v>
      </c>
      <c r="B227" s="343" t="s">
        <v>24</v>
      </c>
      <c r="C227" s="107" t="s">
        <v>73</v>
      </c>
      <c r="D227" s="71" t="s">
        <v>309</v>
      </c>
      <c r="E227" s="71" t="s">
        <v>140</v>
      </c>
      <c r="F227" s="71" t="s">
        <v>155</v>
      </c>
      <c r="G227" s="71" t="s">
        <v>156</v>
      </c>
      <c r="H227" s="71"/>
      <c r="I227" s="37">
        <f aca="true" t="shared" si="23" ref="I227:M229">I228</f>
        <v>83</v>
      </c>
      <c r="J227" s="37">
        <f t="shared" si="23"/>
        <v>83</v>
      </c>
      <c r="K227" s="344">
        <f t="shared" si="13"/>
        <v>0</v>
      </c>
      <c r="L227" s="37">
        <f t="shared" si="23"/>
        <v>84.9</v>
      </c>
      <c r="M227" s="37">
        <f t="shared" si="23"/>
        <v>84.9</v>
      </c>
    </row>
    <row r="228" spans="1:13" s="345" customFormat="1" ht="37.5" customHeight="1">
      <c r="A228" s="136" t="s">
        <v>964</v>
      </c>
      <c r="B228" s="343" t="s">
        <v>24</v>
      </c>
      <c r="C228" s="107" t="s">
        <v>73</v>
      </c>
      <c r="D228" s="71" t="s">
        <v>309</v>
      </c>
      <c r="E228" s="71" t="s">
        <v>140</v>
      </c>
      <c r="F228" s="71" t="s">
        <v>153</v>
      </c>
      <c r="G228" s="71" t="s">
        <v>156</v>
      </c>
      <c r="H228" s="71"/>
      <c r="I228" s="37">
        <f t="shared" si="23"/>
        <v>83</v>
      </c>
      <c r="J228" s="37">
        <f t="shared" si="23"/>
        <v>83</v>
      </c>
      <c r="K228" s="344">
        <f t="shared" si="13"/>
        <v>0</v>
      </c>
      <c r="L228" s="37">
        <f t="shared" si="23"/>
        <v>84.9</v>
      </c>
      <c r="M228" s="37">
        <f t="shared" si="23"/>
        <v>84.9</v>
      </c>
    </row>
    <row r="229" spans="1:13" s="345" customFormat="1" ht="32.25" customHeight="1">
      <c r="A229" s="127" t="s">
        <v>348</v>
      </c>
      <c r="B229" s="347" t="s">
        <v>24</v>
      </c>
      <c r="C229" s="112" t="s">
        <v>73</v>
      </c>
      <c r="D229" s="111" t="s">
        <v>309</v>
      </c>
      <c r="E229" s="111" t="s">
        <v>140</v>
      </c>
      <c r="F229" s="111" t="s">
        <v>153</v>
      </c>
      <c r="G229" s="111" t="s">
        <v>349</v>
      </c>
      <c r="H229" s="111"/>
      <c r="I229" s="78">
        <f t="shared" si="23"/>
        <v>83</v>
      </c>
      <c r="J229" s="78">
        <f t="shared" si="23"/>
        <v>83</v>
      </c>
      <c r="K229" s="348">
        <f t="shared" si="13"/>
        <v>0</v>
      </c>
      <c r="L229" s="78">
        <f t="shared" si="23"/>
        <v>84.9</v>
      </c>
      <c r="M229" s="78">
        <f t="shared" si="23"/>
        <v>84.9</v>
      </c>
    </row>
    <row r="230" spans="1:13" s="345" customFormat="1" ht="34.5" customHeight="1">
      <c r="A230" s="123" t="s">
        <v>758</v>
      </c>
      <c r="B230" s="347" t="s">
        <v>24</v>
      </c>
      <c r="C230" s="112" t="s">
        <v>73</v>
      </c>
      <c r="D230" s="111" t="s">
        <v>309</v>
      </c>
      <c r="E230" s="111" t="s">
        <v>140</v>
      </c>
      <c r="F230" s="111" t="s">
        <v>153</v>
      </c>
      <c r="G230" s="111" t="s">
        <v>349</v>
      </c>
      <c r="H230" s="111" t="s">
        <v>757</v>
      </c>
      <c r="I230" s="78">
        <v>83</v>
      </c>
      <c r="J230" s="78">
        <v>83</v>
      </c>
      <c r="K230" s="348">
        <f t="shared" si="13"/>
        <v>0</v>
      </c>
      <c r="L230" s="78">
        <v>84.9</v>
      </c>
      <c r="M230" s="78">
        <v>84.9</v>
      </c>
    </row>
    <row r="231" spans="1:13" s="346" customFormat="1" ht="51" customHeight="1">
      <c r="A231" s="128" t="s">
        <v>1164</v>
      </c>
      <c r="B231" s="343">
        <v>110</v>
      </c>
      <c r="C231" s="107" t="s">
        <v>73</v>
      </c>
      <c r="D231" s="71" t="s">
        <v>341</v>
      </c>
      <c r="E231" s="71" t="s">
        <v>154</v>
      </c>
      <c r="F231" s="71" t="s">
        <v>155</v>
      </c>
      <c r="G231" s="71" t="s">
        <v>156</v>
      </c>
      <c r="H231" s="71"/>
      <c r="I231" s="37">
        <f>I232+I235+I240+I245+I248</f>
        <v>2535.4000000000005</v>
      </c>
      <c r="J231" s="37">
        <f>J232+J235+J240+J245+J248</f>
        <v>2535.4000000000005</v>
      </c>
      <c r="K231" s="344">
        <f aca="true" t="shared" si="24" ref="K231:K296">J231-I231</f>
        <v>0</v>
      </c>
      <c r="L231" s="37">
        <f>L232+L235+L240+L245+L248</f>
        <v>2562.1</v>
      </c>
      <c r="M231" s="37">
        <f>M232+M235+M240+M245+M248</f>
        <v>2691.8999999999996</v>
      </c>
    </row>
    <row r="232" spans="1:13" s="346" customFormat="1" ht="36" customHeight="1">
      <c r="A232" s="128" t="s">
        <v>938</v>
      </c>
      <c r="B232" s="343">
        <v>110</v>
      </c>
      <c r="C232" s="107" t="s">
        <v>73</v>
      </c>
      <c r="D232" s="71" t="s">
        <v>341</v>
      </c>
      <c r="E232" s="71" t="s">
        <v>154</v>
      </c>
      <c r="F232" s="71" t="s">
        <v>153</v>
      </c>
      <c r="G232" s="71" t="s">
        <v>156</v>
      </c>
      <c r="H232" s="71"/>
      <c r="I232" s="37">
        <f aca="true" t="shared" si="25" ref="I232:M233">I233</f>
        <v>1932.9</v>
      </c>
      <c r="J232" s="37">
        <f t="shared" si="25"/>
        <v>1932.9</v>
      </c>
      <c r="K232" s="344">
        <f t="shared" si="24"/>
        <v>0</v>
      </c>
      <c r="L232" s="37">
        <f t="shared" si="25"/>
        <v>1948.6</v>
      </c>
      <c r="M232" s="37">
        <f t="shared" si="25"/>
        <v>2065.2</v>
      </c>
    </row>
    <row r="233" spans="1:13" s="345" customFormat="1" ht="64.5" customHeight="1">
      <c r="A233" s="127" t="s">
        <v>1165</v>
      </c>
      <c r="B233" s="347">
        <v>110</v>
      </c>
      <c r="C233" s="112" t="s">
        <v>73</v>
      </c>
      <c r="D233" s="111" t="s">
        <v>341</v>
      </c>
      <c r="E233" s="111" t="s">
        <v>154</v>
      </c>
      <c r="F233" s="111" t="s">
        <v>153</v>
      </c>
      <c r="G233" s="111" t="s">
        <v>547</v>
      </c>
      <c r="H233" s="111"/>
      <c r="I233" s="78">
        <f t="shared" si="25"/>
        <v>1932.9</v>
      </c>
      <c r="J233" s="78">
        <f t="shared" si="25"/>
        <v>1932.9</v>
      </c>
      <c r="K233" s="348">
        <f t="shared" si="24"/>
        <v>0</v>
      </c>
      <c r="L233" s="78">
        <f t="shared" si="25"/>
        <v>1948.6</v>
      </c>
      <c r="M233" s="78">
        <f t="shared" si="25"/>
        <v>2065.2</v>
      </c>
    </row>
    <row r="234" spans="1:13" s="345" customFormat="1" ht="20.25" customHeight="1">
      <c r="A234" s="127" t="s">
        <v>759</v>
      </c>
      <c r="B234" s="347">
        <v>110</v>
      </c>
      <c r="C234" s="112" t="s">
        <v>73</v>
      </c>
      <c r="D234" s="111" t="s">
        <v>341</v>
      </c>
      <c r="E234" s="111" t="s">
        <v>154</v>
      </c>
      <c r="F234" s="111" t="s">
        <v>153</v>
      </c>
      <c r="G234" s="111" t="s">
        <v>547</v>
      </c>
      <c r="H234" s="111" t="s">
        <v>760</v>
      </c>
      <c r="I234" s="78">
        <f>198.2+1734.7</f>
        <v>1932.9</v>
      </c>
      <c r="J234" s="78">
        <f>198.2+1734.7</f>
        <v>1932.9</v>
      </c>
      <c r="K234" s="348">
        <f t="shared" si="24"/>
        <v>0</v>
      </c>
      <c r="L234" s="78">
        <f>202.8+1745.8</f>
        <v>1948.6</v>
      </c>
      <c r="M234" s="78">
        <f>250+1815.2</f>
        <v>2065.2</v>
      </c>
    </row>
    <row r="235" spans="1:13" s="345" customFormat="1" ht="34.5" customHeight="1">
      <c r="A235" s="128" t="s">
        <v>939</v>
      </c>
      <c r="B235" s="343" t="s">
        <v>24</v>
      </c>
      <c r="C235" s="107" t="s">
        <v>73</v>
      </c>
      <c r="D235" s="71" t="s">
        <v>341</v>
      </c>
      <c r="E235" s="71" t="s">
        <v>154</v>
      </c>
      <c r="F235" s="71" t="s">
        <v>166</v>
      </c>
      <c r="G235" s="71" t="s">
        <v>156</v>
      </c>
      <c r="H235" s="71"/>
      <c r="I235" s="37">
        <f>I236+I238</f>
        <v>279.8</v>
      </c>
      <c r="J235" s="37">
        <f>J236+J238</f>
        <v>279.8</v>
      </c>
      <c r="K235" s="348">
        <f t="shared" si="24"/>
        <v>0</v>
      </c>
      <c r="L235" s="37">
        <f>L236+L238</f>
        <v>286.3</v>
      </c>
      <c r="M235" s="37">
        <f>M236+M238</f>
        <v>300</v>
      </c>
    </row>
    <row r="236" spans="1:15" s="345" customFormat="1" ht="33.75" customHeight="1">
      <c r="A236" s="123" t="s">
        <v>959</v>
      </c>
      <c r="B236" s="347" t="s">
        <v>24</v>
      </c>
      <c r="C236" s="112" t="s">
        <v>73</v>
      </c>
      <c r="D236" s="111" t="s">
        <v>341</v>
      </c>
      <c r="E236" s="111" t="s">
        <v>154</v>
      </c>
      <c r="F236" s="111" t="s">
        <v>166</v>
      </c>
      <c r="G236" s="111" t="s">
        <v>344</v>
      </c>
      <c r="H236" s="111"/>
      <c r="I236" s="78">
        <f>I237</f>
        <v>140</v>
      </c>
      <c r="J236" s="78">
        <f>J237</f>
        <v>140</v>
      </c>
      <c r="K236" s="348">
        <f t="shared" si="24"/>
        <v>0</v>
      </c>
      <c r="L236" s="78">
        <f>L237</f>
        <v>143</v>
      </c>
      <c r="M236" s="78">
        <f>M237</f>
        <v>150</v>
      </c>
      <c r="N236" s="346"/>
      <c r="O236" s="346"/>
    </row>
    <row r="237" spans="1:15" s="345" customFormat="1" ht="36" customHeight="1">
      <c r="A237" s="127" t="s">
        <v>763</v>
      </c>
      <c r="B237" s="347" t="s">
        <v>24</v>
      </c>
      <c r="C237" s="112" t="s">
        <v>73</v>
      </c>
      <c r="D237" s="111" t="s">
        <v>341</v>
      </c>
      <c r="E237" s="111" t="s">
        <v>154</v>
      </c>
      <c r="F237" s="111" t="s">
        <v>166</v>
      </c>
      <c r="G237" s="111" t="s">
        <v>344</v>
      </c>
      <c r="H237" s="111" t="s">
        <v>764</v>
      </c>
      <c r="I237" s="78">
        <f>279.8-139.8</f>
        <v>140</v>
      </c>
      <c r="J237" s="78">
        <f>279.8-139.8</f>
        <v>140</v>
      </c>
      <c r="K237" s="348">
        <f t="shared" si="24"/>
        <v>0</v>
      </c>
      <c r="L237" s="78">
        <f>286.3-143.3</f>
        <v>143</v>
      </c>
      <c r="M237" s="78">
        <f>300-150</f>
        <v>150</v>
      </c>
      <c r="N237" s="346"/>
      <c r="O237" s="346"/>
    </row>
    <row r="238" spans="1:15" s="345" customFormat="1" ht="78" customHeight="1">
      <c r="A238" s="127" t="s">
        <v>1151</v>
      </c>
      <c r="B238" s="347" t="s">
        <v>24</v>
      </c>
      <c r="C238" s="112" t="s">
        <v>73</v>
      </c>
      <c r="D238" s="111" t="s">
        <v>341</v>
      </c>
      <c r="E238" s="111" t="s">
        <v>154</v>
      </c>
      <c r="F238" s="111" t="s">
        <v>166</v>
      </c>
      <c r="G238" s="111" t="s">
        <v>1152</v>
      </c>
      <c r="H238" s="111"/>
      <c r="I238" s="78">
        <f>I239</f>
        <v>139.8</v>
      </c>
      <c r="J238" s="78">
        <f>J239</f>
        <v>139.8</v>
      </c>
      <c r="K238" s="348">
        <f t="shared" si="24"/>
        <v>0</v>
      </c>
      <c r="L238" s="78">
        <f>L239</f>
        <v>143.3</v>
      </c>
      <c r="M238" s="78">
        <f>M239</f>
        <v>150</v>
      </c>
      <c r="N238" s="346"/>
      <c r="O238" s="346"/>
    </row>
    <row r="239" spans="1:15" s="345" customFormat="1" ht="36" customHeight="1">
      <c r="A239" s="127" t="s">
        <v>763</v>
      </c>
      <c r="B239" s="347" t="s">
        <v>24</v>
      </c>
      <c r="C239" s="112" t="s">
        <v>73</v>
      </c>
      <c r="D239" s="111" t="s">
        <v>341</v>
      </c>
      <c r="E239" s="111" t="s">
        <v>154</v>
      </c>
      <c r="F239" s="111" t="s">
        <v>166</v>
      </c>
      <c r="G239" s="111" t="s">
        <v>1152</v>
      </c>
      <c r="H239" s="111" t="s">
        <v>764</v>
      </c>
      <c r="I239" s="78">
        <v>139.8</v>
      </c>
      <c r="J239" s="78">
        <v>139.8</v>
      </c>
      <c r="K239" s="348">
        <f t="shared" si="24"/>
        <v>0</v>
      </c>
      <c r="L239" s="78">
        <v>143.3</v>
      </c>
      <c r="M239" s="78">
        <v>150</v>
      </c>
      <c r="N239" s="346"/>
      <c r="O239" s="346"/>
    </row>
    <row r="240" spans="1:13" s="345" customFormat="1" ht="33.75" customHeight="1">
      <c r="A240" s="128" t="s">
        <v>940</v>
      </c>
      <c r="B240" s="343">
        <v>110</v>
      </c>
      <c r="C240" s="107" t="s">
        <v>73</v>
      </c>
      <c r="D240" s="71" t="s">
        <v>341</v>
      </c>
      <c r="E240" s="71" t="s">
        <v>154</v>
      </c>
      <c r="F240" s="71" t="s">
        <v>215</v>
      </c>
      <c r="G240" s="71" t="s">
        <v>156</v>
      </c>
      <c r="H240" s="71"/>
      <c r="I240" s="37">
        <f>I241+I243</f>
        <v>106.8</v>
      </c>
      <c r="J240" s="37">
        <f>J241+J243</f>
        <v>106.8</v>
      </c>
      <c r="K240" s="344">
        <f t="shared" si="24"/>
        <v>0</v>
      </c>
      <c r="L240" s="37">
        <f>L241+L243</f>
        <v>110.1</v>
      </c>
      <c r="M240" s="37">
        <f>M241+M243</f>
        <v>118.4</v>
      </c>
    </row>
    <row r="241" spans="1:15" s="345" customFormat="1" ht="49.5" customHeight="1" hidden="1">
      <c r="A241" s="114" t="s">
        <v>941</v>
      </c>
      <c r="B241" s="347">
        <v>110</v>
      </c>
      <c r="C241" s="112" t="s">
        <v>73</v>
      </c>
      <c r="D241" s="111" t="s">
        <v>341</v>
      </c>
      <c r="E241" s="111" t="s">
        <v>154</v>
      </c>
      <c r="F241" s="111" t="s">
        <v>215</v>
      </c>
      <c r="G241" s="111" t="s">
        <v>960</v>
      </c>
      <c r="H241" s="111"/>
      <c r="I241" s="78">
        <f>I242</f>
        <v>0</v>
      </c>
      <c r="J241" s="78">
        <f>J242</f>
        <v>0</v>
      </c>
      <c r="K241" s="348">
        <f t="shared" si="24"/>
        <v>0</v>
      </c>
      <c r="L241" s="78">
        <f>L242</f>
        <v>0</v>
      </c>
      <c r="M241" s="78">
        <f>M242</f>
        <v>0</v>
      </c>
      <c r="N241" s="346"/>
      <c r="O241" s="346"/>
    </row>
    <row r="242" spans="1:15" s="345" customFormat="1" ht="33.75" customHeight="1" hidden="1">
      <c r="A242" s="127" t="s">
        <v>763</v>
      </c>
      <c r="B242" s="347">
        <v>110</v>
      </c>
      <c r="C242" s="112" t="s">
        <v>73</v>
      </c>
      <c r="D242" s="111" t="s">
        <v>341</v>
      </c>
      <c r="E242" s="111" t="s">
        <v>154</v>
      </c>
      <c r="F242" s="111" t="s">
        <v>215</v>
      </c>
      <c r="G242" s="111" t="s">
        <v>960</v>
      </c>
      <c r="H242" s="111" t="s">
        <v>764</v>
      </c>
      <c r="I242" s="78"/>
      <c r="J242" s="78"/>
      <c r="K242" s="348">
        <f t="shared" si="24"/>
        <v>0</v>
      </c>
      <c r="L242" s="78"/>
      <c r="M242" s="78"/>
      <c r="N242" s="346"/>
      <c r="O242" s="346"/>
    </row>
    <row r="243" spans="1:15" s="345" customFormat="1" ht="49.5" customHeight="1">
      <c r="A243" s="127" t="s">
        <v>1161</v>
      </c>
      <c r="B243" s="347">
        <v>110</v>
      </c>
      <c r="C243" s="112" t="s">
        <v>73</v>
      </c>
      <c r="D243" s="111" t="s">
        <v>341</v>
      </c>
      <c r="E243" s="111" t="s">
        <v>154</v>
      </c>
      <c r="F243" s="111" t="s">
        <v>215</v>
      </c>
      <c r="G243" s="111" t="s">
        <v>1153</v>
      </c>
      <c r="H243" s="111"/>
      <c r="I243" s="78">
        <f>I244</f>
        <v>106.8</v>
      </c>
      <c r="J243" s="78">
        <f>J244</f>
        <v>106.8</v>
      </c>
      <c r="K243" s="348">
        <f t="shared" si="24"/>
        <v>0</v>
      </c>
      <c r="L243" s="78">
        <f>L244</f>
        <v>110.1</v>
      </c>
      <c r="M243" s="78">
        <f>M244</f>
        <v>118.4</v>
      </c>
      <c r="N243" s="346"/>
      <c r="O243" s="346"/>
    </row>
    <row r="244" spans="1:15" s="345" customFormat="1" ht="20.25" customHeight="1">
      <c r="A244" s="114" t="s">
        <v>759</v>
      </c>
      <c r="B244" s="347">
        <v>110</v>
      </c>
      <c r="C244" s="112" t="s">
        <v>73</v>
      </c>
      <c r="D244" s="111" t="s">
        <v>341</v>
      </c>
      <c r="E244" s="111" t="s">
        <v>154</v>
      </c>
      <c r="F244" s="111" t="s">
        <v>215</v>
      </c>
      <c r="G244" s="111" t="s">
        <v>1153</v>
      </c>
      <c r="H244" s="111" t="s">
        <v>760</v>
      </c>
      <c r="I244" s="78">
        <v>106.8</v>
      </c>
      <c r="J244" s="78">
        <v>106.8</v>
      </c>
      <c r="K244" s="348">
        <f t="shared" si="24"/>
        <v>0</v>
      </c>
      <c r="L244" s="78">
        <v>110.1</v>
      </c>
      <c r="M244" s="78">
        <v>118.4</v>
      </c>
      <c r="N244" s="346"/>
      <c r="O244" s="346"/>
    </row>
    <row r="245" spans="1:13" s="345" customFormat="1" ht="34.5" customHeight="1">
      <c r="A245" s="136" t="s">
        <v>942</v>
      </c>
      <c r="B245" s="343">
        <v>110</v>
      </c>
      <c r="C245" s="107" t="s">
        <v>73</v>
      </c>
      <c r="D245" s="71" t="s">
        <v>341</v>
      </c>
      <c r="E245" s="71" t="s">
        <v>154</v>
      </c>
      <c r="F245" s="71" t="s">
        <v>232</v>
      </c>
      <c r="G245" s="71" t="s">
        <v>156</v>
      </c>
      <c r="H245" s="71"/>
      <c r="I245" s="37">
        <f aca="true" t="shared" si="26" ref="I245:M246">I246</f>
        <v>175.89999999999998</v>
      </c>
      <c r="J245" s="37">
        <f t="shared" si="26"/>
        <v>175.89999999999998</v>
      </c>
      <c r="K245" s="344">
        <f t="shared" si="24"/>
        <v>0</v>
      </c>
      <c r="L245" s="37">
        <f t="shared" si="26"/>
        <v>177.1</v>
      </c>
      <c r="M245" s="37">
        <f t="shared" si="26"/>
        <v>176.6</v>
      </c>
    </row>
    <row r="246" spans="1:13" s="346" customFormat="1" ht="34.5" customHeight="1">
      <c r="A246" s="123" t="s">
        <v>541</v>
      </c>
      <c r="B246" s="347">
        <v>110</v>
      </c>
      <c r="C246" s="112" t="s">
        <v>73</v>
      </c>
      <c r="D246" s="111" t="s">
        <v>341</v>
      </c>
      <c r="E246" s="111" t="s">
        <v>154</v>
      </c>
      <c r="F246" s="111" t="s">
        <v>232</v>
      </c>
      <c r="G246" s="111" t="s">
        <v>546</v>
      </c>
      <c r="H246" s="111"/>
      <c r="I246" s="78">
        <f t="shared" si="26"/>
        <v>175.89999999999998</v>
      </c>
      <c r="J246" s="78">
        <f t="shared" si="26"/>
        <v>175.89999999999998</v>
      </c>
      <c r="K246" s="348">
        <f t="shared" si="24"/>
        <v>0</v>
      </c>
      <c r="L246" s="78">
        <f t="shared" si="26"/>
        <v>177.1</v>
      </c>
      <c r="M246" s="78">
        <f t="shared" si="26"/>
        <v>176.6</v>
      </c>
    </row>
    <row r="247" spans="1:13" s="346" customFormat="1" ht="36.75" customHeight="1">
      <c r="A247" s="123" t="s">
        <v>758</v>
      </c>
      <c r="B247" s="347">
        <v>110</v>
      </c>
      <c r="C247" s="112" t="s">
        <v>73</v>
      </c>
      <c r="D247" s="111" t="s">
        <v>341</v>
      </c>
      <c r="E247" s="111" t="s">
        <v>154</v>
      </c>
      <c r="F247" s="111" t="s">
        <v>232</v>
      </c>
      <c r="G247" s="111" t="s">
        <v>546</v>
      </c>
      <c r="H247" s="111" t="s">
        <v>757</v>
      </c>
      <c r="I247" s="78">
        <f>51.8+124.1</f>
        <v>175.89999999999998</v>
      </c>
      <c r="J247" s="78">
        <f>51.8+124.1</f>
        <v>175.89999999999998</v>
      </c>
      <c r="K247" s="348">
        <f t="shared" si="24"/>
        <v>0</v>
      </c>
      <c r="L247" s="78">
        <f>53+124.1</f>
        <v>177.1</v>
      </c>
      <c r="M247" s="78">
        <f>52.5+124.1</f>
        <v>176.6</v>
      </c>
    </row>
    <row r="248" spans="1:13" s="345" customFormat="1" ht="48" customHeight="1">
      <c r="A248" s="137" t="s">
        <v>943</v>
      </c>
      <c r="B248" s="343" t="s">
        <v>24</v>
      </c>
      <c r="C248" s="107" t="s">
        <v>73</v>
      </c>
      <c r="D248" s="71" t="s">
        <v>341</v>
      </c>
      <c r="E248" s="71" t="s">
        <v>154</v>
      </c>
      <c r="F248" s="71" t="s">
        <v>341</v>
      </c>
      <c r="G248" s="71" t="s">
        <v>156</v>
      </c>
      <c r="H248" s="71"/>
      <c r="I248" s="37">
        <f aca="true" t="shared" si="27" ref="I248:M249">I249</f>
        <v>40.000000000000014</v>
      </c>
      <c r="J248" s="37">
        <f t="shared" si="27"/>
        <v>40.000000000000014</v>
      </c>
      <c r="K248" s="344">
        <f t="shared" si="24"/>
        <v>0</v>
      </c>
      <c r="L248" s="37">
        <f t="shared" si="27"/>
        <v>40</v>
      </c>
      <c r="M248" s="37">
        <f t="shared" si="27"/>
        <v>31.69999999999999</v>
      </c>
    </row>
    <row r="249" spans="1:15" s="346" customFormat="1" ht="50.25" customHeight="1">
      <c r="A249" s="123" t="s">
        <v>944</v>
      </c>
      <c r="B249" s="347" t="s">
        <v>24</v>
      </c>
      <c r="C249" s="112" t="s">
        <v>73</v>
      </c>
      <c r="D249" s="111" t="s">
        <v>341</v>
      </c>
      <c r="E249" s="111" t="s">
        <v>154</v>
      </c>
      <c r="F249" s="111" t="s">
        <v>341</v>
      </c>
      <c r="G249" s="111" t="s">
        <v>345</v>
      </c>
      <c r="H249" s="111"/>
      <c r="I249" s="78">
        <f t="shared" si="27"/>
        <v>40.000000000000014</v>
      </c>
      <c r="J249" s="78">
        <f t="shared" si="27"/>
        <v>40.000000000000014</v>
      </c>
      <c r="K249" s="348">
        <f t="shared" si="24"/>
        <v>0</v>
      </c>
      <c r="L249" s="78">
        <f t="shared" si="27"/>
        <v>40</v>
      </c>
      <c r="M249" s="78">
        <f t="shared" si="27"/>
        <v>31.69999999999999</v>
      </c>
      <c r="N249" s="345"/>
      <c r="O249" s="345"/>
    </row>
    <row r="250" spans="1:15" s="346" customFormat="1" ht="30.75" customHeight="1">
      <c r="A250" s="123" t="s">
        <v>758</v>
      </c>
      <c r="B250" s="347" t="s">
        <v>24</v>
      </c>
      <c r="C250" s="112" t="s">
        <v>73</v>
      </c>
      <c r="D250" s="111" t="s">
        <v>341</v>
      </c>
      <c r="E250" s="111" t="s">
        <v>154</v>
      </c>
      <c r="F250" s="111" t="s">
        <v>341</v>
      </c>
      <c r="G250" s="111" t="s">
        <v>345</v>
      </c>
      <c r="H250" s="111" t="s">
        <v>757</v>
      </c>
      <c r="I250" s="78">
        <f>146.8-106.8</f>
        <v>40.000000000000014</v>
      </c>
      <c r="J250" s="78">
        <f>146.8-106.8</f>
        <v>40.000000000000014</v>
      </c>
      <c r="K250" s="348">
        <f t="shared" si="24"/>
        <v>0</v>
      </c>
      <c r="L250" s="78">
        <f>150.1-110.1</f>
        <v>40</v>
      </c>
      <c r="M250" s="78">
        <f>150.1-118.4</f>
        <v>31.69999999999999</v>
      </c>
      <c r="N250" s="345"/>
      <c r="O250" s="345"/>
    </row>
    <row r="251" spans="1:13" s="346" customFormat="1" ht="21" customHeight="1">
      <c r="A251" s="139" t="s">
        <v>441</v>
      </c>
      <c r="B251" s="343" t="s">
        <v>24</v>
      </c>
      <c r="C251" s="107" t="s">
        <v>73</v>
      </c>
      <c r="D251" s="71" t="s">
        <v>442</v>
      </c>
      <c r="E251" s="71" t="s">
        <v>154</v>
      </c>
      <c r="F251" s="71" t="s">
        <v>155</v>
      </c>
      <c r="G251" s="71" t="s">
        <v>156</v>
      </c>
      <c r="H251" s="71"/>
      <c r="I251" s="37">
        <f aca="true" t="shared" si="28" ref="I251:M252">I252</f>
        <v>400</v>
      </c>
      <c r="J251" s="37">
        <f t="shared" si="28"/>
        <v>400</v>
      </c>
      <c r="K251" s="344">
        <f t="shared" si="24"/>
        <v>0</v>
      </c>
      <c r="L251" s="37">
        <f t="shared" si="28"/>
        <v>800</v>
      </c>
      <c r="M251" s="37">
        <f t="shared" si="28"/>
        <v>800</v>
      </c>
    </row>
    <row r="252" spans="1:13" s="346" customFormat="1" ht="18" customHeight="1">
      <c r="A252" s="136" t="s">
        <v>410</v>
      </c>
      <c r="B252" s="343" t="s">
        <v>24</v>
      </c>
      <c r="C252" s="107" t="s">
        <v>73</v>
      </c>
      <c r="D252" s="71" t="s">
        <v>442</v>
      </c>
      <c r="E252" s="71" t="s">
        <v>338</v>
      </c>
      <c r="F252" s="71" t="s">
        <v>155</v>
      </c>
      <c r="G252" s="71" t="s">
        <v>156</v>
      </c>
      <c r="H252" s="71"/>
      <c r="I252" s="37">
        <f t="shared" si="28"/>
        <v>400</v>
      </c>
      <c r="J252" s="37">
        <f t="shared" si="28"/>
        <v>400</v>
      </c>
      <c r="K252" s="344">
        <f t="shared" si="24"/>
        <v>0</v>
      </c>
      <c r="L252" s="37">
        <f t="shared" si="28"/>
        <v>800</v>
      </c>
      <c r="M252" s="37">
        <f t="shared" si="28"/>
        <v>800</v>
      </c>
    </row>
    <row r="253" spans="1:13" s="345" customFormat="1" ht="21" customHeight="1">
      <c r="A253" s="139" t="s">
        <v>410</v>
      </c>
      <c r="B253" s="343" t="s">
        <v>24</v>
      </c>
      <c r="C253" s="107" t="s">
        <v>73</v>
      </c>
      <c r="D253" s="71" t="s">
        <v>442</v>
      </c>
      <c r="E253" s="71" t="s">
        <v>338</v>
      </c>
      <c r="F253" s="71" t="s">
        <v>153</v>
      </c>
      <c r="G253" s="71" t="s">
        <v>156</v>
      </c>
      <c r="H253" s="71"/>
      <c r="I253" s="37">
        <f>I254+I256+I258+I260</f>
        <v>400</v>
      </c>
      <c r="J253" s="37">
        <f>J254+J256+J258+J260</f>
        <v>400</v>
      </c>
      <c r="K253" s="344">
        <f t="shared" si="24"/>
        <v>0</v>
      </c>
      <c r="L253" s="37">
        <f>L254+L256+L258+L260</f>
        <v>800</v>
      </c>
      <c r="M253" s="37">
        <f>M254+M256+M258+M260</f>
        <v>800</v>
      </c>
    </row>
    <row r="254" spans="1:13" s="346" customFormat="1" ht="31.5" customHeight="1" hidden="1">
      <c r="A254" s="121" t="s">
        <v>465</v>
      </c>
      <c r="B254" s="347">
        <v>110</v>
      </c>
      <c r="C254" s="112" t="s">
        <v>73</v>
      </c>
      <c r="D254" s="111" t="s">
        <v>442</v>
      </c>
      <c r="E254" s="111" t="s">
        <v>338</v>
      </c>
      <c r="F254" s="111" t="s">
        <v>153</v>
      </c>
      <c r="G254" s="111" t="s">
        <v>466</v>
      </c>
      <c r="H254" s="111"/>
      <c r="I254" s="78">
        <f>I255</f>
        <v>0</v>
      </c>
      <c r="J254" s="78">
        <f>J255</f>
        <v>0</v>
      </c>
      <c r="K254" s="348">
        <f t="shared" si="24"/>
        <v>0</v>
      </c>
      <c r="L254" s="78">
        <f>L255</f>
        <v>0</v>
      </c>
      <c r="M254" s="78">
        <f>M255</f>
        <v>0</v>
      </c>
    </row>
    <row r="255" spans="1:13" s="346" customFormat="1" ht="33" customHeight="1" hidden="1">
      <c r="A255" s="121" t="s">
        <v>758</v>
      </c>
      <c r="B255" s="347">
        <v>110</v>
      </c>
      <c r="C255" s="112" t="s">
        <v>73</v>
      </c>
      <c r="D255" s="111" t="s">
        <v>442</v>
      </c>
      <c r="E255" s="111" t="s">
        <v>338</v>
      </c>
      <c r="F255" s="111" t="s">
        <v>153</v>
      </c>
      <c r="G255" s="111" t="s">
        <v>466</v>
      </c>
      <c r="H255" s="111" t="s">
        <v>757</v>
      </c>
      <c r="I255" s="78"/>
      <c r="J255" s="351"/>
      <c r="K255" s="348">
        <f t="shared" si="24"/>
        <v>0</v>
      </c>
      <c r="L255" s="78"/>
      <c r="M255" s="78"/>
    </row>
    <row r="256" spans="1:13" s="346" customFormat="1" ht="34.5" customHeight="1" hidden="1">
      <c r="A256" s="22" t="s">
        <v>530</v>
      </c>
      <c r="B256" s="347">
        <v>110</v>
      </c>
      <c r="C256" s="112" t="s">
        <v>73</v>
      </c>
      <c r="D256" s="111" t="s">
        <v>442</v>
      </c>
      <c r="E256" s="111" t="s">
        <v>338</v>
      </c>
      <c r="F256" s="111" t="s">
        <v>153</v>
      </c>
      <c r="G256" s="111" t="s">
        <v>531</v>
      </c>
      <c r="H256" s="111"/>
      <c r="I256" s="78">
        <f>I257</f>
        <v>0</v>
      </c>
      <c r="J256" s="78">
        <f>J257</f>
        <v>0</v>
      </c>
      <c r="K256" s="348">
        <f t="shared" si="24"/>
        <v>0</v>
      </c>
      <c r="L256" s="78">
        <f>L257</f>
        <v>0</v>
      </c>
      <c r="M256" s="78">
        <f>M257</f>
        <v>0</v>
      </c>
    </row>
    <row r="257" spans="1:13" s="346" customFormat="1" ht="30.75" customHeight="1" hidden="1">
      <c r="A257" s="22" t="s">
        <v>758</v>
      </c>
      <c r="B257" s="347">
        <v>110</v>
      </c>
      <c r="C257" s="112" t="s">
        <v>73</v>
      </c>
      <c r="D257" s="111" t="s">
        <v>442</v>
      </c>
      <c r="E257" s="111" t="s">
        <v>338</v>
      </c>
      <c r="F257" s="111" t="s">
        <v>153</v>
      </c>
      <c r="G257" s="111" t="s">
        <v>531</v>
      </c>
      <c r="H257" s="111" t="s">
        <v>757</v>
      </c>
      <c r="I257" s="78"/>
      <c r="J257" s="351"/>
      <c r="K257" s="348">
        <f t="shared" si="24"/>
        <v>0</v>
      </c>
      <c r="L257" s="78"/>
      <c r="M257" s="78"/>
    </row>
    <row r="258" spans="1:15" s="346" customFormat="1" ht="32.25" customHeight="1" hidden="1">
      <c r="A258" s="121" t="s">
        <v>550</v>
      </c>
      <c r="B258" s="347">
        <v>110</v>
      </c>
      <c r="C258" s="112" t="s">
        <v>73</v>
      </c>
      <c r="D258" s="111" t="s">
        <v>442</v>
      </c>
      <c r="E258" s="111" t="s">
        <v>338</v>
      </c>
      <c r="F258" s="111" t="s">
        <v>153</v>
      </c>
      <c r="G258" s="111" t="s">
        <v>549</v>
      </c>
      <c r="H258" s="111"/>
      <c r="I258" s="78">
        <f>I259</f>
        <v>0</v>
      </c>
      <c r="J258" s="78">
        <f>J259</f>
        <v>0</v>
      </c>
      <c r="K258" s="348">
        <f t="shared" si="24"/>
        <v>0</v>
      </c>
      <c r="L258" s="78">
        <f>L259</f>
        <v>0</v>
      </c>
      <c r="M258" s="78">
        <f>M259</f>
        <v>0</v>
      </c>
      <c r="N258" s="345"/>
      <c r="O258" s="345"/>
    </row>
    <row r="259" spans="1:13" s="346" customFormat="1" ht="33.75" customHeight="1" hidden="1">
      <c r="A259" s="121" t="s">
        <v>758</v>
      </c>
      <c r="B259" s="347">
        <v>110</v>
      </c>
      <c r="C259" s="112" t="s">
        <v>73</v>
      </c>
      <c r="D259" s="111" t="s">
        <v>442</v>
      </c>
      <c r="E259" s="111" t="s">
        <v>338</v>
      </c>
      <c r="F259" s="111" t="s">
        <v>153</v>
      </c>
      <c r="G259" s="111" t="s">
        <v>549</v>
      </c>
      <c r="H259" s="111" t="s">
        <v>757</v>
      </c>
      <c r="I259" s="78"/>
      <c r="J259" s="78"/>
      <c r="K259" s="348">
        <f t="shared" si="24"/>
        <v>0</v>
      </c>
      <c r="L259" s="78"/>
      <c r="M259" s="78"/>
    </row>
    <row r="260" spans="1:15" s="345" customFormat="1" ht="21" customHeight="1">
      <c r="A260" s="121" t="s">
        <v>711</v>
      </c>
      <c r="B260" s="347">
        <v>110</v>
      </c>
      <c r="C260" s="112" t="s">
        <v>73</v>
      </c>
      <c r="D260" s="111" t="s">
        <v>442</v>
      </c>
      <c r="E260" s="111" t="s">
        <v>338</v>
      </c>
      <c r="F260" s="111" t="s">
        <v>153</v>
      </c>
      <c r="G260" s="111" t="s">
        <v>710</v>
      </c>
      <c r="H260" s="111"/>
      <c r="I260" s="78">
        <f>I261</f>
        <v>400</v>
      </c>
      <c r="J260" s="78">
        <f>J261</f>
        <v>400</v>
      </c>
      <c r="K260" s="348">
        <f t="shared" si="24"/>
        <v>0</v>
      </c>
      <c r="L260" s="78">
        <f>L261</f>
        <v>800</v>
      </c>
      <c r="M260" s="78">
        <f>M261</f>
        <v>800</v>
      </c>
      <c r="N260" s="346"/>
      <c r="O260" s="346"/>
    </row>
    <row r="261" spans="1:13" s="346" customFormat="1" ht="33.75" customHeight="1">
      <c r="A261" s="121" t="s">
        <v>758</v>
      </c>
      <c r="B261" s="347">
        <v>110</v>
      </c>
      <c r="C261" s="112" t="s">
        <v>73</v>
      </c>
      <c r="D261" s="111" t="s">
        <v>442</v>
      </c>
      <c r="E261" s="111" t="s">
        <v>338</v>
      </c>
      <c r="F261" s="111" t="s">
        <v>153</v>
      </c>
      <c r="G261" s="111" t="s">
        <v>710</v>
      </c>
      <c r="H261" s="111" t="s">
        <v>757</v>
      </c>
      <c r="I261" s="78">
        <v>400</v>
      </c>
      <c r="J261" s="78">
        <v>400</v>
      </c>
      <c r="K261" s="348">
        <f t="shared" si="24"/>
        <v>0</v>
      </c>
      <c r="L261" s="78">
        <v>800</v>
      </c>
      <c r="M261" s="78">
        <v>800</v>
      </c>
    </row>
    <row r="262" spans="1:13" s="346" customFormat="1" ht="21" customHeight="1">
      <c r="A262" s="165" t="s">
        <v>510</v>
      </c>
      <c r="B262" s="343" t="s">
        <v>24</v>
      </c>
      <c r="C262" s="107" t="s">
        <v>75</v>
      </c>
      <c r="D262" s="71"/>
      <c r="E262" s="71"/>
      <c r="F262" s="71"/>
      <c r="G262" s="71"/>
      <c r="H262" s="71"/>
      <c r="I262" s="37">
        <f>I263+I271+I279+I285</f>
        <v>4465.6</v>
      </c>
      <c r="J262" s="37">
        <f>J263+J271+J279+J285</f>
        <v>4765.6</v>
      </c>
      <c r="K262" s="344">
        <f t="shared" si="24"/>
        <v>300</v>
      </c>
      <c r="L262" s="37">
        <f>L263+L271+L279+L285</f>
        <v>2914.2</v>
      </c>
      <c r="M262" s="37">
        <f>M263+M271+M279+M285</f>
        <v>2942.5</v>
      </c>
    </row>
    <row r="263" spans="1:13" s="346" customFormat="1" ht="18.75" customHeight="1">
      <c r="A263" s="360" t="s">
        <v>76</v>
      </c>
      <c r="B263" s="343">
        <v>110</v>
      </c>
      <c r="C263" s="107" t="s">
        <v>77</v>
      </c>
      <c r="D263" s="71"/>
      <c r="E263" s="71"/>
      <c r="F263" s="71"/>
      <c r="G263" s="71"/>
      <c r="H263" s="71"/>
      <c r="I263" s="37">
        <f aca="true" t="shared" si="29" ref="I263:M265">I264</f>
        <v>533.0999999999999</v>
      </c>
      <c r="J263" s="37">
        <f t="shared" si="29"/>
        <v>533.0999999999999</v>
      </c>
      <c r="K263" s="344">
        <f t="shared" si="24"/>
        <v>0</v>
      </c>
      <c r="L263" s="37">
        <f t="shared" si="29"/>
        <v>531.6999999999999</v>
      </c>
      <c r="M263" s="37">
        <f t="shared" si="29"/>
        <v>560</v>
      </c>
    </row>
    <row r="264" spans="1:13" s="346" customFormat="1" ht="19.5" customHeight="1">
      <c r="A264" s="139" t="s">
        <v>441</v>
      </c>
      <c r="B264" s="343">
        <v>110</v>
      </c>
      <c r="C264" s="107" t="s">
        <v>77</v>
      </c>
      <c r="D264" s="71" t="s">
        <v>442</v>
      </c>
      <c r="E264" s="71" t="s">
        <v>154</v>
      </c>
      <c r="F264" s="71" t="s">
        <v>155</v>
      </c>
      <c r="G264" s="71" t="s">
        <v>156</v>
      </c>
      <c r="H264" s="71"/>
      <c r="I264" s="37">
        <f t="shared" si="29"/>
        <v>533.0999999999999</v>
      </c>
      <c r="J264" s="37">
        <f t="shared" si="29"/>
        <v>533.0999999999999</v>
      </c>
      <c r="K264" s="344">
        <f t="shared" si="24"/>
        <v>0</v>
      </c>
      <c r="L264" s="37">
        <f t="shared" si="29"/>
        <v>531.6999999999999</v>
      </c>
      <c r="M264" s="37">
        <f t="shared" si="29"/>
        <v>560</v>
      </c>
    </row>
    <row r="265" spans="1:15" s="346" customFormat="1" ht="21" customHeight="1">
      <c r="A265" s="136" t="s">
        <v>410</v>
      </c>
      <c r="B265" s="343">
        <v>110</v>
      </c>
      <c r="C265" s="107" t="s">
        <v>77</v>
      </c>
      <c r="D265" s="71" t="s">
        <v>442</v>
      </c>
      <c r="E265" s="71" t="s">
        <v>338</v>
      </c>
      <c r="F265" s="71" t="s">
        <v>155</v>
      </c>
      <c r="G265" s="71" t="s">
        <v>156</v>
      </c>
      <c r="H265" s="71"/>
      <c r="I265" s="37">
        <f t="shared" si="29"/>
        <v>533.0999999999999</v>
      </c>
      <c r="J265" s="37">
        <f t="shared" si="29"/>
        <v>533.0999999999999</v>
      </c>
      <c r="K265" s="344">
        <f t="shared" si="24"/>
        <v>0</v>
      </c>
      <c r="L265" s="37">
        <f t="shared" si="29"/>
        <v>531.6999999999999</v>
      </c>
      <c r="M265" s="37">
        <f t="shared" si="29"/>
        <v>560</v>
      </c>
      <c r="O265" s="354"/>
    </row>
    <row r="266" spans="1:13" s="346" customFormat="1" ht="20.25" customHeight="1">
      <c r="A266" s="121" t="s">
        <v>410</v>
      </c>
      <c r="B266" s="343">
        <v>110</v>
      </c>
      <c r="C266" s="107" t="s">
        <v>77</v>
      </c>
      <c r="D266" s="71" t="s">
        <v>442</v>
      </c>
      <c r="E266" s="71" t="s">
        <v>338</v>
      </c>
      <c r="F266" s="71" t="s">
        <v>153</v>
      </c>
      <c r="G266" s="71" t="s">
        <v>156</v>
      </c>
      <c r="H266" s="71"/>
      <c r="I266" s="37">
        <f>I267+I269</f>
        <v>533.0999999999999</v>
      </c>
      <c r="J266" s="37">
        <f>J267+J269</f>
        <v>533.0999999999999</v>
      </c>
      <c r="K266" s="344">
        <f t="shared" si="24"/>
        <v>0</v>
      </c>
      <c r="L266" s="37">
        <f>L267+L269</f>
        <v>531.6999999999999</v>
      </c>
      <c r="M266" s="37">
        <f>M267+M269</f>
        <v>560</v>
      </c>
    </row>
    <row r="267" spans="1:13" s="346" customFormat="1" ht="51.75" customHeight="1">
      <c r="A267" s="121" t="s">
        <v>544</v>
      </c>
      <c r="B267" s="347">
        <v>110</v>
      </c>
      <c r="C267" s="112" t="s">
        <v>77</v>
      </c>
      <c r="D267" s="111" t="s">
        <v>442</v>
      </c>
      <c r="E267" s="111" t="s">
        <v>338</v>
      </c>
      <c r="F267" s="111" t="s">
        <v>153</v>
      </c>
      <c r="G267" s="111" t="s">
        <v>542</v>
      </c>
      <c r="H267" s="111"/>
      <c r="I267" s="78">
        <f>I268</f>
        <v>518.8</v>
      </c>
      <c r="J267" s="78">
        <f>J268</f>
        <v>518.8</v>
      </c>
      <c r="K267" s="348">
        <f t="shared" si="24"/>
        <v>0</v>
      </c>
      <c r="L267" s="78">
        <f>L268</f>
        <v>517.4</v>
      </c>
      <c r="M267" s="78">
        <f>M268</f>
        <v>545</v>
      </c>
    </row>
    <row r="268" spans="1:15" s="346" customFormat="1" ht="31.5" customHeight="1">
      <c r="A268" s="121" t="s">
        <v>758</v>
      </c>
      <c r="B268" s="347">
        <v>110</v>
      </c>
      <c r="C268" s="112" t="s">
        <v>77</v>
      </c>
      <c r="D268" s="111" t="s">
        <v>442</v>
      </c>
      <c r="E268" s="111" t="s">
        <v>338</v>
      </c>
      <c r="F268" s="111" t="s">
        <v>153</v>
      </c>
      <c r="G268" s="111" t="s">
        <v>542</v>
      </c>
      <c r="H268" s="111" t="s">
        <v>757</v>
      </c>
      <c r="I268" s="78">
        <v>518.8</v>
      </c>
      <c r="J268" s="78">
        <v>518.8</v>
      </c>
      <c r="K268" s="348">
        <f t="shared" si="24"/>
        <v>0</v>
      </c>
      <c r="L268" s="78">
        <v>517.4</v>
      </c>
      <c r="M268" s="78">
        <v>545</v>
      </c>
      <c r="N268" s="345"/>
      <c r="O268" s="345"/>
    </row>
    <row r="269" spans="1:15" s="346" customFormat="1" ht="19.5" customHeight="1">
      <c r="A269" s="121" t="s">
        <v>545</v>
      </c>
      <c r="B269" s="347">
        <v>110</v>
      </c>
      <c r="C269" s="112" t="s">
        <v>77</v>
      </c>
      <c r="D269" s="111" t="s">
        <v>442</v>
      </c>
      <c r="E269" s="111" t="s">
        <v>338</v>
      </c>
      <c r="F269" s="111" t="s">
        <v>153</v>
      </c>
      <c r="G269" s="111" t="s">
        <v>543</v>
      </c>
      <c r="H269" s="111"/>
      <c r="I269" s="78">
        <f>I270</f>
        <v>14.3</v>
      </c>
      <c r="J269" s="78">
        <f>J270</f>
        <v>14.3</v>
      </c>
      <c r="K269" s="348">
        <f t="shared" si="24"/>
        <v>0</v>
      </c>
      <c r="L269" s="78">
        <f>L270</f>
        <v>14.3</v>
      </c>
      <c r="M269" s="78">
        <f>M270</f>
        <v>15</v>
      </c>
      <c r="N269" s="345"/>
      <c r="O269" s="345"/>
    </row>
    <row r="270" spans="1:13" s="345" customFormat="1" ht="33" customHeight="1">
      <c r="A270" s="121" t="s">
        <v>758</v>
      </c>
      <c r="B270" s="347">
        <v>110</v>
      </c>
      <c r="C270" s="112" t="s">
        <v>77</v>
      </c>
      <c r="D270" s="111" t="s">
        <v>442</v>
      </c>
      <c r="E270" s="111" t="s">
        <v>338</v>
      </c>
      <c r="F270" s="111" t="s">
        <v>153</v>
      </c>
      <c r="G270" s="111" t="s">
        <v>543</v>
      </c>
      <c r="H270" s="111" t="s">
        <v>757</v>
      </c>
      <c r="I270" s="78">
        <v>14.3</v>
      </c>
      <c r="J270" s="78">
        <v>14.3</v>
      </c>
      <c r="K270" s="348">
        <f t="shared" si="24"/>
        <v>0</v>
      </c>
      <c r="L270" s="78">
        <v>14.3</v>
      </c>
      <c r="M270" s="78">
        <v>15</v>
      </c>
    </row>
    <row r="271" spans="1:13" s="345" customFormat="1" ht="21" customHeight="1">
      <c r="A271" s="360" t="s">
        <v>78</v>
      </c>
      <c r="B271" s="343">
        <v>110</v>
      </c>
      <c r="C271" s="107" t="s">
        <v>79</v>
      </c>
      <c r="D271" s="71"/>
      <c r="E271" s="71"/>
      <c r="F271" s="71"/>
      <c r="G271" s="71"/>
      <c r="H271" s="71"/>
      <c r="I271" s="37">
        <f aca="true" t="shared" si="30" ref="I271:M275">I272</f>
        <v>1550</v>
      </c>
      <c r="J271" s="37">
        <f t="shared" si="30"/>
        <v>1850</v>
      </c>
      <c r="K271" s="344">
        <f t="shared" si="24"/>
        <v>300</v>
      </c>
      <c r="L271" s="37">
        <f t="shared" si="30"/>
        <v>0</v>
      </c>
      <c r="M271" s="37">
        <f t="shared" si="30"/>
        <v>0</v>
      </c>
    </row>
    <row r="272" spans="1:15" s="345" customFormat="1" ht="73.5" customHeight="1">
      <c r="A272" s="139" t="s">
        <v>973</v>
      </c>
      <c r="B272" s="343">
        <v>110</v>
      </c>
      <c r="C272" s="107" t="s">
        <v>79</v>
      </c>
      <c r="D272" s="71" t="s">
        <v>153</v>
      </c>
      <c r="E272" s="71" t="s">
        <v>154</v>
      </c>
      <c r="F272" s="71" t="s">
        <v>155</v>
      </c>
      <c r="G272" s="71" t="s">
        <v>156</v>
      </c>
      <c r="H272" s="71"/>
      <c r="I272" s="37">
        <f t="shared" si="30"/>
        <v>1550</v>
      </c>
      <c r="J272" s="37">
        <f t="shared" si="30"/>
        <v>1850</v>
      </c>
      <c r="K272" s="344">
        <f t="shared" si="24"/>
        <v>300</v>
      </c>
      <c r="L272" s="37">
        <f t="shared" si="30"/>
        <v>0</v>
      </c>
      <c r="M272" s="37">
        <f t="shared" si="30"/>
        <v>0</v>
      </c>
      <c r="N272" s="346"/>
      <c r="O272" s="346"/>
    </row>
    <row r="273" spans="1:13" s="345" customFormat="1" ht="21" customHeight="1">
      <c r="A273" s="109" t="s">
        <v>886</v>
      </c>
      <c r="B273" s="343">
        <v>110</v>
      </c>
      <c r="C273" s="107" t="s">
        <v>79</v>
      </c>
      <c r="D273" s="71" t="s">
        <v>153</v>
      </c>
      <c r="E273" s="71" t="s">
        <v>137</v>
      </c>
      <c r="F273" s="71" t="s">
        <v>155</v>
      </c>
      <c r="G273" s="71" t="s">
        <v>156</v>
      </c>
      <c r="H273" s="71"/>
      <c r="I273" s="37">
        <f t="shared" si="30"/>
        <v>1550</v>
      </c>
      <c r="J273" s="37">
        <f t="shared" si="30"/>
        <v>1850</v>
      </c>
      <c r="K273" s="344">
        <f t="shared" si="24"/>
        <v>300</v>
      </c>
      <c r="L273" s="37">
        <f t="shared" si="30"/>
        <v>0</v>
      </c>
      <c r="M273" s="37">
        <f t="shared" si="30"/>
        <v>0</v>
      </c>
    </row>
    <row r="274" spans="1:13" s="345" customFormat="1" ht="51" customHeight="1">
      <c r="A274" s="117" t="s">
        <v>887</v>
      </c>
      <c r="B274" s="343">
        <v>110</v>
      </c>
      <c r="C274" s="107" t="s">
        <v>79</v>
      </c>
      <c r="D274" s="71" t="s">
        <v>153</v>
      </c>
      <c r="E274" s="71" t="s">
        <v>137</v>
      </c>
      <c r="F274" s="71" t="s">
        <v>153</v>
      </c>
      <c r="G274" s="71" t="s">
        <v>156</v>
      </c>
      <c r="H274" s="71"/>
      <c r="I274" s="37">
        <f>I275+I277</f>
        <v>1550</v>
      </c>
      <c r="J274" s="37">
        <f>J275+J277</f>
        <v>1850</v>
      </c>
      <c r="K274" s="344">
        <f t="shared" si="24"/>
        <v>300</v>
      </c>
      <c r="L274" s="37">
        <f>L275+L277</f>
        <v>0</v>
      </c>
      <c r="M274" s="37">
        <f>M275+M277</f>
        <v>0</v>
      </c>
    </row>
    <row r="275" spans="1:15" s="345" customFormat="1" ht="49.5" customHeight="1">
      <c r="A275" s="121" t="s">
        <v>160</v>
      </c>
      <c r="B275" s="347">
        <v>110</v>
      </c>
      <c r="C275" s="112" t="s">
        <v>79</v>
      </c>
      <c r="D275" s="111" t="s">
        <v>153</v>
      </c>
      <c r="E275" s="111" t="s">
        <v>137</v>
      </c>
      <c r="F275" s="111" t="s">
        <v>153</v>
      </c>
      <c r="G275" s="111" t="s">
        <v>161</v>
      </c>
      <c r="H275" s="111"/>
      <c r="I275" s="78">
        <f t="shared" si="30"/>
        <v>1550</v>
      </c>
      <c r="J275" s="78">
        <f t="shared" si="30"/>
        <v>1550</v>
      </c>
      <c r="K275" s="348">
        <f t="shared" si="24"/>
        <v>0</v>
      </c>
      <c r="L275" s="78">
        <f t="shared" si="30"/>
        <v>0</v>
      </c>
      <c r="M275" s="78">
        <f t="shared" si="30"/>
        <v>0</v>
      </c>
      <c r="N275" s="346"/>
      <c r="O275" s="346"/>
    </row>
    <row r="276" spans="1:13" s="346" customFormat="1" ht="36" customHeight="1">
      <c r="A276" s="121" t="s">
        <v>758</v>
      </c>
      <c r="B276" s="347">
        <v>110</v>
      </c>
      <c r="C276" s="112" t="s">
        <v>79</v>
      </c>
      <c r="D276" s="111" t="s">
        <v>153</v>
      </c>
      <c r="E276" s="111" t="s">
        <v>137</v>
      </c>
      <c r="F276" s="111" t="s">
        <v>153</v>
      </c>
      <c r="G276" s="111" t="s">
        <v>161</v>
      </c>
      <c r="H276" s="111" t="s">
        <v>757</v>
      </c>
      <c r="I276" s="78">
        <f>200+1350</f>
        <v>1550</v>
      </c>
      <c r="J276" s="78">
        <f>200+1350</f>
        <v>1550</v>
      </c>
      <c r="K276" s="348">
        <f t="shared" si="24"/>
        <v>0</v>
      </c>
      <c r="L276" s="78"/>
      <c r="M276" s="78"/>
    </row>
    <row r="277" spans="1:13" s="346" customFormat="1" ht="36" customHeight="1">
      <c r="A277" s="121" t="s">
        <v>1249</v>
      </c>
      <c r="B277" s="347">
        <v>110</v>
      </c>
      <c r="C277" s="112" t="s">
        <v>79</v>
      </c>
      <c r="D277" s="111" t="s">
        <v>153</v>
      </c>
      <c r="E277" s="111" t="s">
        <v>137</v>
      </c>
      <c r="F277" s="111" t="s">
        <v>153</v>
      </c>
      <c r="G277" s="111" t="s">
        <v>1220</v>
      </c>
      <c r="H277" s="111"/>
      <c r="I277" s="78">
        <f>I278</f>
        <v>0</v>
      </c>
      <c r="J277" s="78">
        <f>J278</f>
        <v>300</v>
      </c>
      <c r="K277" s="348">
        <f t="shared" si="24"/>
        <v>300</v>
      </c>
      <c r="L277" s="78">
        <f>L278</f>
        <v>0</v>
      </c>
      <c r="M277" s="78">
        <f>M278</f>
        <v>0</v>
      </c>
    </row>
    <row r="278" spans="1:13" s="346" customFormat="1" ht="36" customHeight="1">
      <c r="A278" s="114" t="s">
        <v>771</v>
      </c>
      <c r="B278" s="347">
        <v>110</v>
      </c>
      <c r="C278" s="112" t="s">
        <v>79</v>
      </c>
      <c r="D278" s="111" t="s">
        <v>153</v>
      </c>
      <c r="E278" s="111" t="s">
        <v>137</v>
      </c>
      <c r="F278" s="111" t="s">
        <v>153</v>
      </c>
      <c r="G278" s="111" t="s">
        <v>1220</v>
      </c>
      <c r="H278" s="111" t="s">
        <v>768</v>
      </c>
      <c r="I278" s="78"/>
      <c r="J278" s="78">
        <v>300</v>
      </c>
      <c r="K278" s="348">
        <f t="shared" si="24"/>
        <v>300</v>
      </c>
      <c r="L278" s="78"/>
      <c r="M278" s="78"/>
    </row>
    <row r="279" spans="1:13" s="346" customFormat="1" ht="24" customHeight="1" hidden="1">
      <c r="A279" s="165" t="s">
        <v>80</v>
      </c>
      <c r="B279" s="343">
        <v>110</v>
      </c>
      <c r="C279" s="107" t="s">
        <v>81</v>
      </c>
      <c r="D279" s="71"/>
      <c r="E279" s="71"/>
      <c r="F279" s="71"/>
      <c r="G279" s="71"/>
      <c r="H279" s="71"/>
      <c r="I279" s="37">
        <f aca="true" t="shared" si="31" ref="I279:M283">I280</f>
        <v>0</v>
      </c>
      <c r="J279" s="37">
        <f t="shared" si="31"/>
        <v>0</v>
      </c>
      <c r="K279" s="344">
        <f t="shared" si="24"/>
        <v>0</v>
      </c>
      <c r="L279" s="37">
        <f t="shared" si="31"/>
        <v>0</v>
      </c>
      <c r="M279" s="37">
        <f t="shared" si="31"/>
        <v>0</v>
      </c>
    </row>
    <row r="280" spans="1:13" s="346" customFormat="1" ht="36" customHeight="1" hidden="1">
      <c r="A280" s="139" t="s">
        <v>441</v>
      </c>
      <c r="B280" s="343" t="s">
        <v>24</v>
      </c>
      <c r="C280" s="107" t="s">
        <v>81</v>
      </c>
      <c r="D280" s="107" t="s">
        <v>442</v>
      </c>
      <c r="E280" s="107" t="s">
        <v>154</v>
      </c>
      <c r="F280" s="107" t="s">
        <v>155</v>
      </c>
      <c r="G280" s="71" t="s">
        <v>156</v>
      </c>
      <c r="H280" s="71"/>
      <c r="I280" s="37">
        <f t="shared" si="31"/>
        <v>0</v>
      </c>
      <c r="J280" s="37">
        <f t="shared" si="31"/>
        <v>0</v>
      </c>
      <c r="K280" s="344">
        <f t="shared" si="24"/>
        <v>0</v>
      </c>
      <c r="L280" s="37">
        <f t="shared" si="31"/>
        <v>0</v>
      </c>
      <c r="M280" s="37">
        <f t="shared" si="31"/>
        <v>0</v>
      </c>
    </row>
    <row r="281" spans="1:13" s="346" customFormat="1" ht="26.25" customHeight="1" hidden="1">
      <c r="A281" s="136" t="s">
        <v>410</v>
      </c>
      <c r="B281" s="343" t="s">
        <v>24</v>
      </c>
      <c r="C281" s="107" t="s">
        <v>81</v>
      </c>
      <c r="D281" s="71" t="s">
        <v>442</v>
      </c>
      <c r="E281" s="71" t="s">
        <v>338</v>
      </c>
      <c r="F281" s="71" t="s">
        <v>155</v>
      </c>
      <c r="G281" s="71" t="s">
        <v>156</v>
      </c>
      <c r="H281" s="71"/>
      <c r="I281" s="37">
        <f t="shared" si="31"/>
        <v>0</v>
      </c>
      <c r="J281" s="37">
        <f t="shared" si="31"/>
        <v>0</v>
      </c>
      <c r="K281" s="344">
        <f t="shared" si="24"/>
        <v>0</v>
      </c>
      <c r="L281" s="37">
        <f t="shared" si="31"/>
        <v>0</v>
      </c>
      <c r="M281" s="37">
        <f t="shared" si="31"/>
        <v>0</v>
      </c>
    </row>
    <row r="282" spans="1:13" s="345" customFormat="1" ht="22.5" customHeight="1" hidden="1">
      <c r="A282" s="139" t="s">
        <v>410</v>
      </c>
      <c r="B282" s="358" t="s">
        <v>24</v>
      </c>
      <c r="C282" s="361" t="s">
        <v>81</v>
      </c>
      <c r="D282" s="359" t="s">
        <v>442</v>
      </c>
      <c r="E282" s="359" t="s">
        <v>338</v>
      </c>
      <c r="F282" s="359" t="s">
        <v>153</v>
      </c>
      <c r="G282" s="71" t="s">
        <v>156</v>
      </c>
      <c r="H282" s="71"/>
      <c r="I282" s="37">
        <f t="shared" si="31"/>
        <v>0</v>
      </c>
      <c r="J282" s="37">
        <f t="shared" si="31"/>
        <v>0</v>
      </c>
      <c r="K282" s="344">
        <f t="shared" si="24"/>
        <v>0</v>
      </c>
      <c r="L282" s="37">
        <f t="shared" si="31"/>
        <v>0</v>
      </c>
      <c r="M282" s="37">
        <f t="shared" si="31"/>
        <v>0</v>
      </c>
    </row>
    <row r="283" spans="1:13" s="346" customFormat="1" ht="23.25" customHeight="1" hidden="1">
      <c r="A283" s="121" t="s">
        <v>457</v>
      </c>
      <c r="B283" s="352" t="s">
        <v>24</v>
      </c>
      <c r="C283" s="362" t="s">
        <v>81</v>
      </c>
      <c r="D283" s="142" t="s">
        <v>442</v>
      </c>
      <c r="E283" s="142" t="s">
        <v>338</v>
      </c>
      <c r="F283" s="142" t="s">
        <v>153</v>
      </c>
      <c r="G283" s="111" t="s">
        <v>458</v>
      </c>
      <c r="H283" s="111"/>
      <c r="I283" s="78">
        <f t="shared" si="31"/>
        <v>0</v>
      </c>
      <c r="J283" s="78">
        <f t="shared" si="31"/>
        <v>0</v>
      </c>
      <c r="K283" s="348">
        <f t="shared" si="24"/>
        <v>0</v>
      </c>
      <c r="L283" s="78">
        <f t="shared" si="31"/>
        <v>0</v>
      </c>
      <c r="M283" s="78">
        <f t="shared" si="31"/>
        <v>0</v>
      </c>
    </row>
    <row r="284" spans="1:13" s="346" customFormat="1" ht="21" customHeight="1" hidden="1">
      <c r="A284" s="121" t="s">
        <v>758</v>
      </c>
      <c r="B284" s="352" t="s">
        <v>24</v>
      </c>
      <c r="C284" s="362" t="s">
        <v>81</v>
      </c>
      <c r="D284" s="142" t="s">
        <v>442</v>
      </c>
      <c r="E284" s="142" t="s">
        <v>338</v>
      </c>
      <c r="F284" s="142" t="s">
        <v>153</v>
      </c>
      <c r="G284" s="111" t="s">
        <v>458</v>
      </c>
      <c r="H284" s="111" t="s">
        <v>757</v>
      </c>
      <c r="I284" s="78"/>
      <c r="J284" s="78"/>
      <c r="K284" s="348">
        <f t="shared" si="24"/>
        <v>0</v>
      </c>
      <c r="L284" s="78"/>
      <c r="M284" s="78"/>
    </row>
    <row r="285" spans="1:15" s="346" customFormat="1" ht="21.75" customHeight="1">
      <c r="A285" s="165" t="s">
        <v>82</v>
      </c>
      <c r="B285" s="343" t="s">
        <v>24</v>
      </c>
      <c r="C285" s="107" t="s">
        <v>83</v>
      </c>
      <c r="D285" s="71"/>
      <c r="E285" s="71"/>
      <c r="F285" s="71"/>
      <c r="G285" s="71"/>
      <c r="H285" s="71"/>
      <c r="I285" s="37">
        <f aca="true" t="shared" si="32" ref="I285:M289">I286</f>
        <v>2382.5</v>
      </c>
      <c r="J285" s="37">
        <f t="shared" si="32"/>
        <v>2382.5</v>
      </c>
      <c r="K285" s="344">
        <f t="shared" si="24"/>
        <v>0</v>
      </c>
      <c r="L285" s="37">
        <f t="shared" si="32"/>
        <v>2382.5</v>
      </c>
      <c r="M285" s="37">
        <f t="shared" si="32"/>
        <v>2382.5</v>
      </c>
      <c r="N285" s="345"/>
      <c r="O285" s="345"/>
    </row>
    <row r="286" spans="1:15" s="346" customFormat="1" ht="18.75" customHeight="1">
      <c r="A286" s="139" t="s">
        <v>441</v>
      </c>
      <c r="B286" s="343" t="s">
        <v>24</v>
      </c>
      <c r="C286" s="107" t="s">
        <v>83</v>
      </c>
      <c r="D286" s="107" t="s">
        <v>442</v>
      </c>
      <c r="E286" s="107" t="s">
        <v>154</v>
      </c>
      <c r="F286" s="107" t="s">
        <v>155</v>
      </c>
      <c r="G286" s="107" t="s">
        <v>156</v>
      </c>
      <c r="H286" s="105"/>
      <c r="I286" s="37">
        <f t="shared" si="32"/>
        <v>2382.5</v>
      </c>
      <c r="J286" s="37">
        <f t="shared" si="32"/>
        <v>2382.5</v>
      </c>
      <c r="K286" s="344">
        <f t="shared" si="24"/>
        <v>0</v>
      </c>
      <c r="L286" s="37">
        <f t="shared" si="32"/>
        <v>2382.5</v>
      </c>
      <c r="M286" s="37">
        <f t="shared" si="32"/>
        <v>2382.5</v>
      </c>
      <c r="N286" s="345"/>
      <c r="O286" s="345"/>
    </row>
    <row r="287" spans="1:13" s="345" customFormat="1" ht="20.25" customHeight="1">
      <c r="A287" s="136" t="s">
        <v>410</v>
      </c>
      <c r="B287" s="343" t="s">
        <v>24</v>
      </c>
      <c r="C287" s="107" t="s">
        <v>83</v>
      </c>
      <c r="D287" s="71" t="s">
        <v>442</v>
      </c>
      <c r="E287" s="71" t="s">
        <v>338</v>
      </c>
      <c r="F287" s="71" t="s">
        <v>155</v>
      </c>
      <c r="G287" s="71" t="s">
        <v>156</v>
      </c>
      <c r="H287" s="71"/>
      <c r="I287" s="37">
        <f t="shared" si="32"/>
        <v>2382.5</v>
      </c>
      <c r="J287" s="37">
        <f t="shared" si="32"/>
        <v>2382.5</v>
      </c>
      <c r="K287" s="344">
        <f t="shared" si="24"/>
        <v>0</v>
      </c>
      <c r="L287" s="37">
        <f t="shared" si="32"/>
        <v>2382.5</v>
      </c>
      <c r="M287" s="37">
        <f t="shared" si="32"/>
        <v>2382.5</v>
      </c>
    </row>
    <row r="288" spans="1:13" s="345" customFormat="1" ht="20.25" customHeight="1">
      <c r="A288" s="139" t="s">
        <v>410</v>
      </c>
      <c r="B288" s="358" t="s">
        <v>24</v>
      </c>
      <c r="C288" s="361" t="s">
        <v>83</v>
      </c>
      <c r="D288" s="359" t="s">
        <v>442</v>
      </c>
      <c r="E288" s="359" t="s">
        <v>338</v>
      </c>
      <c r="F288" s="359" t="s">
        <v>153</v>
      </c>
      <c r="G288" s="71" t="s">
        <v>156</v>
      </c>
      <c r="H288" s="71"/>
      <c r="I288" s="37">
        <f t="shared" si="32"/>
        <v>2382.5</v>
      </c>
      <c r="J288" s="37">
        <f t="shared" si="32"/>
        <v>2382.5</v>
      </c>
      <c r="K288" s="344">
        <f t="shared" si="24"/>
        <v>0</v>
      </c>
      <c r="L288" s="37">
        <f t="shared" si="32"/>
        <v>2382.5</v>
      </c>
      <c r="M288" s="37">
        <f t="shared" si="32"/>
        <v>2382.5</v>
      </c>
    </row>
    <row r="289" spans="1:13" s="345" customFormat="1" ht="33" customHeight="1">
      <c r="A289" s="123" t="s">
        <v>426</v>
      </c>
      <c r="B289" s="352" t="s">
        <v>24</v>
      </c>
      <c r="C289" s="362" t="s">
        <v>83</v>
      </c>
      <c r="D289" s="142" t="s">
        <v>442</v>
      </c>
      <c r="E289" s="142" t="s">
        <v>338</v>
      </c>
      <c r="F289" s="142" t="s">
        <v>153</v>
      </c>
      <c r="G289" s="142" t="s">
        <v>427</v>
      </c>
      <c r="H289" s="140"/>
      <c r="I289" s="353">
        <f t="shared" si="32"/>
        <v>2382.5</v>
      </c>
      <c r="J289" s="353">
        <f t="shared" si="32"/>
        <v>2382.5</v>
      </c>
      <c r="K289" s="348">
        <f t="shared" si="24"/>
        <v>0</v>
      </c>
      <c r="L289" s="353">
        <f t="shared" si="32"/>
        <v>2382.5</v>
      </c>
      <c r="M289" s="353">
        <f t="shared" si="32"/>
        <v>2382.5</v>
      </c>
    </row>
    <row r="290" spans="1:13" s="345" customFormat="1" ht="31.5" customHeight="1">
      <c r="A290" s="123" t="s">
        <v>758</v>
      </c>
      <c r="B290" s="352" t="s">
        <v>24</v>
      </c>
      <c r="C290" s="120" t="s">
        <v>83</v>
      </c>
      <c r="D290" s="142" t="s">
        <v>442</v>
      </c>
      <c r="E290" s="142" t="s">
        <v>338</v>
      </c>
      <c r="F290" s="142" t="s">
        <v>153</v>
      </c>
      <c r="G290" s="142" t="s">
        <v>427</v>
      </c>
      <c r="H290" s="111" t="s">
        <v>757</v>
      </c>
      <c r="I290" s="78">
        <v>2382.5</v>
      </c>
      <c r="J290" s="78">
        <v>2382.5</v>
      </c>
      <c r="K290" s="348">
        <f t="shared" si="24"/>
        <v>0</v>
      </c>
      <c r="L290" s="78">
        <v>2382.5</v>
      </c>
      <c r="M290" s="78">
        <v>2382.5</v>
      </c>
    </row>
    <row r="291" spans="1:13" s="345" customFormat="1" ht="21" customHeight="1">
      <c r="A291" s="139" t="s">
        <v>494</v>
      </c>
      <c r="B291" s="343" t="s">
        <v>24</v>
      </c>
      <c r="C291" s="107" t="s">
        <v>89</v>
      </c>
      <c r="D291" s="71"/>
      <c r="E291" s="71"/>
      <c r="F291" s="71"/>
      <c r="G291" s="71"/>
      <c r="H291" s="71"/>
      <c r="I291" s="37">
        <f>I292+I332</f>
        <v>96545.4</v>
      </c>
      <c r="J291" s="37">
        <f>J292+J332</f>
        <v>99301.09999999999</v>
      </c>
      <c r="K291" s="344">
        <f t="shared" si="24"/>
        <v>2755.699999999997</v>
      </c>
      <c r="L291" s="37">
        <f>L292+L332</f>
        <v>93372</v>
      </c>
      <c r="M291" s="37">
        <f>M292+M332</f>
        <v>92911.2</v>
      </c>
    </row>
    <row r="292" spans="1:13" s="345" customFormat="1" ht="21.75" customHeight="1">
      <c r="A292" s="139" t="s">
        <v>94</v>
      </c>
      <c r="B292" s="343">
        <v>110</v>
      </c>
      <c r="C292" s="107" t="s">
        <v>95</v>
      </c>
      <c r="D292" s="71"/>
      <c r="E292" s="71"/>
      <c r="F292" s="71"/>
      <c r="G292" s="71"/>
      <c r="H292" s="71"/>
      <c r="I292" s="37">
        <f>I293+I325+I320</f>
        <v>96011.9</v>
      </c>
      <c r="J292" s="37">
        <f>J293+J325+J320</f>
        <v>98767.59999999999</v>
      </c>
      <c r="K292" s="344">
        <f t="shared" si="24"/>
        <v>2755.699999999997</v>
      </c>
      <c r="L292" s="37">
        <f>L293+L325+L320</f>
        <v>92808.9</v>
      </c>
      <c r="M292" s="37">
        <f>M293+M325+M320</f>
        <v>92337.9</v>
      </c>
    </row>
    <row r="293" spans="1:15" s="345" customFormat="1" ht="33.75" customHeight="1">
      <c r="A293" s="139" t="s">
        <v>192</v>
      </c>
      <c r="B293" s="358" t="s">
        <v>24</v>
      </c>
      <c r="C293" s="107" t="s">
        <v>95</v>
      </c>
      <c r="D293" s="71" t="s">
        <v>193</v>
      </c>
      <c r="E293" s="71" t="s">
        <v>154</v>
      </c>
      <c r="F293" s="71" t="s">
        <v>155</v>
      </c>
      <c r="G293" s="71" t="s">
        <v>156</v>
      </c>
      <c r="H293" s="71"/>
      <c r="I293" s="37">
        <f>I294+I310+I316</f>
        <v>93357.9</v>
      </c>
      <c r="J293" s="37">
        <f>J294+J310+J316</f>
        <v>94853.59999999999</v>
      </c>
      <c r="K293" s="344">
        <f t="shared" si="24"/>
        <v>1495.699999999997</v>
      </c>
      <c r="L293" s="37">
        <f>L294+L310+L316</f>
        <v>92808.9</v>
      </c>
      <c r="M293" s="37">
        <f>M294+M310+M316</f>
        <v>92337.9</v>
      </c>
      <c r="O293" s="349"/>
    </row>
    <row r="294" spans="1:15" s="345" customFormat="1" ht="33" customHeight="1">
      <c r="A294" s="109" t="s">
        <v>194</v>
      </c>
      <c r="B294" s="358" t="s">
        <v>24</v>
      </c>
      <c r="C294" s="107" t="s">
        <v>95</v>
      </c>
      <c r="D294" s="71" t="s">
        <v>193</v>
      </c>
      <c r="E294" s="71" t="s">
        <v>136</v>
      </c>
      <c r="F294" s="71" t="s">
        <v>155</v>
      </c>
      <c r="G294" s="71" t="s">
        <v>156</v>
      </c>
      <c r="H294" s="71"/>
      <c r="I294" s="37">
        <f>I295</f>
        <v>6877.6</v>
      </c>
      <c r="J294" s="37">
        <f>J295</f>
        <v>9262.5</v>
      </c>
      <c r="K294" s="344">
        <f t="shared" si="24"/>
        <v>2384.8999999999996</v>
      </c>
      <c r="L294" s="37">
        <f>L295</f>
        <v>381.6</v>
      </c>
      <c r="M294" s="37">
        <f>M295</f>
        <v>381.6</v>
      </c>
      <c r="O294" s="349"/>
    </row>
    <row r="295" spans="1:15" s="345" customFormat="1" ht="53.25" customHeight="1">
      <c r="A295" s="109" t="s">
        <v>891</v>
      </c>
      <c r="B295" s="358" t="s">
        <v>24</v>
      </c>
      <c r="C295" s="107" t="s">
        <v>95</v>
      </c>
      <c r="D295" s="71" t="s">
        <v>193</v>
      </c>
      <c r="E295" s="71" t="s">
        <v>136</v>
      </c>
      <c r="F295" s="71" t="s">
        <v>166</v>
      </c>
      <c r="G295" s="71" t="s">
        <v>156</v>
      </c>
      <c r="H295" s="71"/>
      <c r="I295" s="37">
        <f>I296+I300+I304+I306+I308+I298+I302</f>
        <v>6877.6</v>
      </c>
      <c r="J295" s="37">
        <f>J296+J300+J304+J306+J308+J298+J302</f>
        <v>9262.5</v>
      </c>
      <c r="K295" s="344">
        <f t="shared" si="24"/>
        <v>2384.8999999999996</v>
      </c>
      <c r="L295" s="37">
        <f>L296+L300+L304+L306+L308+L298+L302</f>
        <v>381.6</v>
      </c>
      <c r="M295" s="37">
        <f>M296+M300+M304+M306+M308+M298+M302</f>
        <v>381.6</v>
      </c>
      <c r="N295" s="350"/>
      <c r="O295" s="350"/>
    </row>
    <row r="296" spans="1:15" s="345" customFormat="1" ht="21" customHeight="1">
      <c r="A296" s="123" t="s">
        <v>208</v>
      </c>
      <c r="B296" s="352" t="s">
        <v>24</v>
      </c>
      <c r="C296" s="112" t="s">
        <v>95</v>
      </c>
      <c r="D296" s="111" t="s">
        <v>193</v>
      </c>
      <c r="E296" s="111" t="s">
        <v>136</v>
      </c>
      <c r="F296" s="111" t="s">
        <v>166</v>
      </c>
      <c r="G296" s="111" t="s">
        <v>209</v>
      </c>
      <c r="H296" s="111"/>
      <c r="I296" s="78">
        <f>I297</f>
        <v>5064</v>
      </c>
      <c r="J296" s="78">
        <f>J297</f>
        <v>6944.9</v>
      </c>
      <c r="K296" s="348">
        <f t="shared" si="24"/>
        <v>1880.8999999999996</v>
      </c>
      <c r="L296" s="78">
        <f>L297</f>
        <v>0</v>
      </c>
      <c r="M296" s="78">
        <f>M297</f>
        <v>0</v>
      </c>
      <c r="N296" s="350"/>
      <c r="O296" s="350"/>
    </row>
    <row r="297" spans="1:13" s="194" customFormat="1" ht="34.5" customHeight="1">
      <c r="A297" s="123" t="s">
        <v>763</v>
      </c>
      <c r="B297" s="352" t="s">
        <v>24</v>
      </c>
      <c r="C297" s="112" t="s">
        <v>95</v>
      </c>
      <c r="D297" s="111" t="s">
        <v>193</v>
      </c>
      <c r="E297" s="111" t="s">
        <v>136</v>
      </c>
      <c r="F297" s="111" t="s">
        <v>166</v>
      </c>
      <c r="G297" s="111" t="s">
        <v>209</v>
      </c>
      <c r="H297" s="111" t="s">
        <v>764</v>
      </c>
      <c r="I297" s="78">
        <f>4064+1000</f>
        <v>5064</v>
      </c>
      <c r="J297" s="78">
        <f>4064+1000+1880.9</f>
        <v>6944.9</v>
      </c>
      <c r="K297" s="348">
        <f aca="true" t="shared" si="33" ref="K297:K371">J297-I297</f>
        <v>1880.8999999999996</v>
      </c>
      <c r="L297" s="78"/>
      <c r="M297" s="78"/>
    </row>
    <row r="298" spans="1:13" s="194" customFormat="1" ht="19.5" customHeight="1">
      <c r="A298" s="127" t="s">
        <v>777</v>
      </c>
      <c r="B298" s="352">
        <v>110</v>
      </c>
      <c r="C298" s="112" t="s">
        <v>95</v>
      </c>
      <c r="D298" s="111" t="s">
        <v>193</v>
      </c>
      <c r="E298" s="111" t="s">
        <v>136</v>
      </c>
      <c r="F298" s="111" t="s">
        <v>166</v>
      </c>
      <c r="G298" s="111" t="s">
        <v>774</v>
      </c>
      <c r="H298" s="111"/>
      <c r="I298" s="78">
        <f>I299</f>
        <v>1108.7</v>
      </c>
      <c r="J298" s="78">
        <f>J299</f>
        <v>1108.7</v>
      </c>
      <c r="K298" s="348">
        <f t="shared" si="33"/>
        <v>0</v>
      </c>
      <c r="L298" s="78">
        <f>L299</f>
        <v>0</v>
      </c>
      <c r="M298" s="78">
        <f>M299</f>
        <v>0</v>
      </c>
    </row>
    <row r="299" spans="1:13" s="194" customFormat="1" ht="34.5" customHeight="1">
      <c r="A299" s="123" t="s">
        <v>763</v>
      </c>
      <c r="B299" s="352">
        <v>110</v>
      </c>
      <c r="C299" s="112" t="s">
        <v>95</v>
      </c>
      <c r="D299" s="111" t="s">
        <v>193</v>
      </c>
      <c r="E299" s="111" t="s">
        <v>136</v>
      </c>
      <c r="F299" s="111" t="s">
        <v>166</v>
      </c>
      <c r="G299" s="111" t="s">
        <v>774</v>
      </c>
      <c r="H299" s="111" t="s">
        <v>764</v>
      </c>
      <c r="I299" s="78">
        <f>900+208.7</f>
        <v>1108.7</v>
      </c>
      <c r="J299" s="78">
        <f>900+208.7+504-504</f>
        <v>1108.7</v>
      </c>
      <c r="K299" s="348">
        <f t="shared" si="33"/>
        <v>0</v>
      </c>
      <c r="L299" s="78"/>
      <c r="M299" s="78"/>
    </row>
    <row r="300" spans="1:13" s="346" customFormat="1" ht="21" customHeight="1">
      <c r="A300" s="127" t="s">
        <v>775</v>
      </c>
      <c r="B300" s="352" t="s">
        <v>24</v>
      </c>
      <c r="C300" s="112" t="s">
        <v>95</v>
      </c>
      <c r="D300" s="111" t="s">
        <v>193</v>
      </c>
      <c r="E300" s="111" t="s">
        <v>136</v>
      </c>
      <c r="F300" s="111" t="s">
        <v>166</v>
      </c>
      <c r="G300" s="111" t="s">
        <v>776</v>
      </c>
      <c r="H300" s="111"/>
      <c r="I300" s="78">
        <f>I301</f>
        <v>323.3</v>
      </c>
      <c r="J300" s="78">
        <f>J301</f>
        <v>323.3</v>
      </c>
      <c r="K300" s="348">
        <f t="shared" si="33"/>
        <v>0</v>
      </c>
      <c r="L300" s="78">
        <f>L301</f>
        <v>0</v>
      </c>
      <c r="M300" s="78">
        <f>M301</f>
        <v>0</v>
      </c>
    </row>
    <row r="301" spans="1:13" s="346" customFormat="1" ht="32.25" customHeight="1">
      <c r="A301" s="127" t="s">
        <v>763</v>
      </c>
      <c r="B301" s="352" t="s">
        <v>24</v>
      </c>
      <c r="C301" s="112" t="s">
        <v>95</v>
      </c>
      <c r="D301" s="111" t="s">
        <v>193</v>
      </c>
      <c r="E301" s="111" t="s">
        <v>136</v>
      </c>
      <c r="F301" s="111" t="s">
        <v>166</v>
      </c>
      <c r="G301" s="111" t="s">
        <v>776</v>
      </c>
      <c r="H301" s="111" t="s">
        <v>764</v>
      </c>
      <c r="I301" s="78">
        <v>323.3</v>
      </c>
      <c r="J301" s="78">
        <v>323.3</v>
      </c>
      <c r="K301" s="348">
        <f t="shared" si="33"/>
        <v>0</v>
      </c>
      <c r="L301" s="78"/>
      <c r="M301" s="78"/>
    </row>
    <row r="302" spans="1:13" s="346" customFormat="1" ht="32.25" customHeight="1">
      <c r="A302" s="127" t="s">
        <v>1257</v>
      </c>
      <c r="B302" s="352" t="s">
        <v>24</v>
      </c>
      <c r="C302" s="112" t="s">
        <v>95</v>
      </c>
      <c r="D302" s="111" t="s">
        <v>193</v>
      </c>
      <c r="E302" s="111" t="s">
        <v>136</v>
      </c>
      <c r="F302" s="111" t="s">
        <v>166</v>
      </c>
      <c r="G302" s="111" t="s">
        <v>1258</v>
      </c>
      <c r="H302" s="111"/>
      <c r="I302" s="78">
        <f>I303</f>
        <v>0</v>
      </c>
      <c r="J302" s="78">
        <f>J303</f>
        <v>504</v>
      </c>
      <c r="K302" s="348">
        <f t="shared" si="33"/>
        <v>504</v>
      </c>
      <c r="L302" s="78">
        <f>L303</f>
        <v>0</v>
      </c>
      <c r="M302" s="78">
        <f>M303</f>
        <v>0</v>
      </c>
    </row>
    <row r="303" spans="1:13" s="346" customFormat="1" ht="32.25" customHeight="1">
      <c r="A303" s="127" t="s">
        <v>763</v>
      </c>
      <c r="B303" s="352" t="s">
        <v>24</v>
      </c>
      <c r="C303" s="112" t="s">
        <v>95</v>
      </c>
      <c r="D303" s="111" t="s">
        <v>193</v>
      </c>
      <c r="E303" s="111" t="s">
        <v>136</v>
      </c>
      <c r="F303" s="111" t="s">
        <v>166</v>
      </c>
      <c r="G303" s="111" t="s">
        <v>1258</v>
      </c>
      <c r="H303" s="111" t="s">
        <v>764</v>
      </c>
      <c r="I303" s="78"/>
      <c r="J303" s="78">
        <v>504</v>
      </c>
      <c r="K303" s="348">
        <f t="shared" si="33"/>
        <v>504</v>
      </c>
      <c r="L303" s="78"/>
      <c r="M303" s="78"/>
    </row>
    <row r="304" spans="1:15" s="346" customFormat="1" ht="21.75" customHeight="1" hidden="1">
      <c r="A304" s="121" t="s">
        <v>210</v>
      </c>
      <c r="B304" s="347">
        <v>110</v>
      </c>
      <c r="C304" s="112" t="s">
        <v>95</v>
      </c>
      <c r="D304" s="111" t="s">
        <v>193</v>
      </c>
      <c r="E304" s="111" t="s">
        <v>136</v>
      </c>
      <c r="F304" s="111" t="s">
        <v>166</v>
      </c>
      <c r="G304" s="111" t="s">
        <v>211</v>
      </c>
      <c r="H304" s="111"/>
      <c r="I304" s="78">
        <f>I305</f>
        <v>0</v>
      </c>
      <c r="J304" s="78">
        <f>J305</f>
        <v>0</v>
      </c>
      <c r="K304" s="348">
        <f t="shared" si="33"/>
        <v>0</v>
      </c>
      <c r="L304" s="78">
        <f>L305</f>
        <v>0</v>
      </c>
      <c r="M304" s="78">
        <f>M305</f>
        <v>0</v>
      </c>
      <c r="N304" s="345"/>
      <c r="O304" s="345"/>
    </row>
    <row r="305" spans="1:13" s="345" customFormat="1" ht="27.75" customHeight="1" hidden="1">
      <c r="A305" s="127" t="s">
        <v>763</v>
      </c>
      <c r="B305" s="347">
        <v>110</v>
      </c>
      <c r="C305" s="112" t="s">
        <v>95</v>
      </c>
      <c r="D305" s="111" t="s">
        <v>193</v>
      </c>
      <c r="E305" s="111" t="s">
        <v>136</v>
      </c>
      <c r="F305" s="111" t="s">
        <v>166</v>
      </c>
      <c r="G305" s="111" t="s">
        <v>211</v>
      </c>
      <c r="H305" s="111" t="s">
        <v>764</v>
      </c>
      <c r="I305" s="78"/>
      <c r="J305" s="132"/>
      <c r="K305" s="348">
        <f t="shared" si="33"/>
        <v>0</v>
      </c>
      <c r="L305" s="78"/>
      <c r="M305" s="78"/>
    </row>
    <row r="306" spans="1:15" s="194" customFormat="1" ht="23.25" customHeight="1" hidden="1">
      <c r="A306" s="127" t="s">
        <v>780</v>
      </c>
      <c r="B306" s="352" t="s">
        <v>24</v>
      </c>
      <c r="C306" s="112" t="s">
        <v>95</v>
      </c>
      <c r="D306" s="111" t="s">
        <v>193</v>
      </c>
      <c r="E306" s="111" t="s">
        <v>136</v>
      </c>
      <c r="F306" s="111" t="s">
        <v>166</v>
      </c>
      <c r="G306" s="111" t="s">
        <v>781</v>
      </c>
      <c r="H306" s="111"/>
      <c r="I306" s="78">
        <f>I307</f>
        <v>0</v>
      </c>
      <c r="J306" s="78">
        <f>J307</f>
        <v>0</v>
      </c>
      <c r="K306" s="348">
        <f t="shared" si="33"/>
        <v>0</v>
      </c>
      <c r="L306" s="78">
        <f>L307</f>
        <v>0</v>
      </c>
      <c r="M306" s="78">
        <f>M307</f>
        <v>0</v>
      </c>
      <c r="N306" s="346"/>
      <c r="O306" s="346"/>
    </row>
    <row r="307" spans="1:15" s="194" customFormat="1" ht="23.25" customHeight="1" hidden="1">
      <c r="A307" s="127" t="s">
        <v>763</v>
      </c>
      <c r="B307" s="352" t="s">
        <v>24</v>
      </c>
      <c r="C307" s="112" t="s">
        <v>95</v>
      </c>
      <c r="D307" s="111" t="s">
        <v>193</v>
      </c>
      <c r="E307" s="111" t="s">
        <v>136</v>
      </c>
      <c r="F307" s="111" t="s">
        <v>166</v>
      </c>
      <c r="G307" s="111" t="s">
        <v>781</v>
      </c>
      <c r="H307" s="111" t="s">
        <v>764</v>
      </c>
      <c r="I307" s="78"/>
      <c r="J307" s="78"/>
      <c r="K307" s="348">
        <f t="shared" si="33"/>
        <v>0</v>
      </c>
      <c r="L307" s="78"/>
      <c r="M307" s="78"/>
      <c r="N307" s="345"/>
      <c r="O307" s="345"/>
    </row>
    <row r="308" spans="1:15" s="194" customFormat="1" ht="18" customHeight="1">
      <c r="A308" s="127" t="s">
        <v>780</v>
      </c>
      <c r="B308" s="352" t="s">
        <v>24</v>
      </c>
      <c r="C308" s="112" t="s">
        <v>95</v>
      </c>
      <c r="D308" s="111" t="s">
        <v>193</v>
      </c>
      <c r="E308" s="111" t="s">
        <v>136</v>
      </c>
      <c r="F308" s="111" t="s">
        <v>166</v>
      </c>
      <c r="G308" s="111" t="s">
        <v>851</v>
      </c>
      <c r="H308" s="111"/>
      <c r="I308" s="78">
        <f>I309</f>
        <v>381.6</v>
      </c>
      <c r="J308" s="78">
        <f>J309</f>
        <v>381.6</v>
      </c>
      <c r="K308" s="348">
        <f t="shared" si="33"/>
        <v>0</v>
      </c>
      <c r="L308" s="78">
        <f>L309</f>
        <v>381.6</v>
      </c>
      <c r="M308" s="78">
        <f>M309</f>
        <v>381.6</v>
      </c>
      <c r="N308" s="345"/>
      <c r="O308" s="345"/>
    </row>
    <row r="309" spans="1:15" s="194" customFormat="1" ht="32.25" customHeight="1">
      <c r="A309" s="127" t="s">
        <v>763</v>
      </c>
      <c r="B309" s="352" t="s">
        <v>24</v>
      </c>
      <c r="C309" s="112" t="s">
        <v>95</v>
      </c>
      <c r="D309" s="111" t="s">
        <v>193</v>
      </c>
      <c r="E309" s="111" t="s">
        <v>136</v>
      </c>
      <c r="F309" s="111" t="s">
        <v>166</v>
      </c>
      <c r="G309" s="111" t="s">
        <v>851</v>
      </c>
      <c r="H309" s="111" t="s">
        <v>764</v>
      </c>
      <c r="I309" s="78">
        <f>81.5+300.1</f>
        <v>381.6</v>
      </c>
      <c r="J309" s="78">
        <f>81.5+300.1</f>
        <v>381.6</v>
      </c>
      <c r="K309" s="348">
        <f t="shared" si="33"/>
        <v>0</v>
      </c>
      <c r="L309" s="78">
        <f>81.5+300.1</f>
        <v>381.6</v>
      </c>
      <c r="M309" s="78">
        <f>81.5+300.1</f>
        <v>381.6</v>
      </c>
      <c r="N309" s="345"/>
      <c r="O309" s="345"/>
    </row>
    <row r="310" spans="1:15" s="350" customFormat="1" ht="30.75" customHeight="1">
      <c r="A310" s="109" t="s">
        <v>199</v>
      </c>
      <c r="B310" s="358">
        <v>110</v>
      </c>
      <c r="C310" s="107" t="s">
        <v>95</v>
      </c>
      <c r="D310" s="71" t="s">
        <v>193</v>
      </c>
      <c r="E310" s="71" t="s">
        <v>137</v>
      </c>
      <c r="F310" s="71" t="s">
        <v>155</v>
      </c>
      <c r="G310" s="71" t="s">
        <v>156</v>
      </c>
      <c r="H310" s="71"/>
      <c r="I310" s="37">
        <f>I311</f>
        <v>434.90000000000003</v>
      </c>
      <c r="J310" s="37">
        <f>J311</f>
        <v>805.7</v>
      </c>
      <c r="K310" s="344">
        <f t="shared" si="33"/>
        <v>370.8</v>
      </c>
      <c r="L310" s="37">
        <f>L311</f>
        <v>444.9</v>
      </c>
      <c r="M310" s="37">
        <f>M311</f>
        <v>454.9</v>
      </c>
      <c r="N310" s="345"/>
      <c r="O310" s="345"/>
    </row>
    <row r="311" spans="1:15" s="350" customFormat="1" ht="36" customHeight="1">
      <c r="A311" s="109" t="s">
        <v>892</v>
      </c>
      <c r="B311" s="358">
        <v>110</v>
      </c>
      <c r="C311" s="107" t="s">
        <v>95</v>
      </c>
      <c r="D311" s="71" t="s">
        <v>193</v>
      </c>
      <c r="E311" s="71" t="s">
        <v>137</v>
      </c>
      <c r="F311" s="71" t="s">
        <v>153</v>
      </c>
      <c r="G311" s="71" t="s">
        <v>156</v>
      </c>
      <c r="H311" s="71"/>
      <c r="I311" s="37">
        <f>I312+I314</f>
        <v>434.90000000000003</v>
      </c>
      <c r="J311" s="37">
        <f>J312+J314</f>
        <v>805.7</v>
      </c>
      <c r="K311" s="344">
        <f t="shared" si="33"/>
        <v>370.8</v>
      </c>
      <c r="L311" s="37">
        <f>L312+L314</f>
        <v>444.9</v>
      </c>
      <c r="M311" s="37">
        <f>M312+M314</f>
        <v>454.9</v>
      </c>
      <c r="N311" s="345"/>
      <c r="O311" s="345"/>
    </row>
    <row r="312" spans="1:15" s="194" customFormat="1" ht="51" customHeight="1">
      <c r="A312" s="119" t="s">
        <v>953</v>
      </c>
      <c r="B312" s="352">
        <v>110</v>
      </c>
      <c r="C312" s="112" t="s">
        <v>95</v>
      </c>
      <c r="D312" s="111" t="s">
        <v>193</v>
      </c>
      <c r="E312" s="111" t="s">
        <v>137</v>
      </c>
      <c r="F312" s="111" t="s">
        <v>153</v>
      </c>
      <c r="G312" s="111" t="s">
        <v>204</v>
      </c>
      <c r="H312" s="111"/>
      <c r="I312" s="78">
        <f>I313</f>
        <v>383.1</v>
      </c>
      <c r="J312" s="78">
        <f>J313</f>
        <v>753.9000000000001</v>
      </c>
      <c r="K312" s="348">
        <f t="shared" si="33"/>
        <v>370.80000000000007</v>
      </c>
      <c r="L312" s="78">
        <f>L313</f>
        <v>391.9</v>
      </c>
      <c r="M312" s="78">
        <f>M313</f>
        <v>400.7</v>
      </c>
      <c r="N312" s="346"/>
      <c r="O312" s="346"/>
    </row>
    <row r="313" spans="1:15" s="194" customFormat="1" ht="32.25" customHeight="1">
      <c r="A313" s="119" t="s">
        <v>763</v>
      </c>
      <c r="B313" s="352">
        <v>110</v>
      </c>
      <c r="C313" s="112" t="s">
        <v>95</v>
      </c>
      <c r="D313" s="111" t="s">
        <v>193</v>
      </c>
      <c r="E313" s="111" t="s">
        <v>137</v>
      </c>
      <c r="F313" s="111" t="s">
        <v>153</v>
      </c>
      <c r="G313" s="111" t="s">
        <v>204</v>
      </c>
      <c r="H313" s="111" t="s">
        <v>764</v>
      </c>
      <c r="I313" s="78">
        <v>383.1</v>
      </c>
      <c r="J313" s="78">
        <f>383.1+200+170.8</f>
        <v>753.9000000000001</v>
      </c>
      <c r="K313" s="348">
        <f t="shared" si="33"/>
        <v>370.80000000000007</v>
      </c>
      <c r="L313" s="78">
        <v>391.9</v>
      </c>
      <c r="M313" s="78">
        <v>400.7</v>
      </c>
      <c r="N313" s="346"/>
      <c r="O313" s="346"/>
    </row>
    <row r="314" spans="1:15" s="194" customFormat="1" ht="21.75" customHeight="1">
      <c r="A314" s="119" t="s">
        <v>202</v>
      </c>
      <c r="B314" s="352">
        <v>110</v>
      </c>
      <c r="C314" s="112" t="s">
        <v>95</v>
      </c>
      <c r="D314" s="111" t="s">
        <v>193</v>
      </c>
      <c r="E314" s="111" t="s">
        <v>137</v>
      </c>
      <c r="F314" s="111" t="s">
        <v>153</v>
      </c>
      <c r="G314" s="111" t="s">
        <v>203</v>
      </c>
      <c r="H314" s="111"/>
      <c r="I314" s="78">
        <f>I315</f>
        <v>51.8</v>
      </c>
      <c r="J314" s="78">
        <f>J315</f>
        <v>51.8</v>
      </c>
      <c r="K314" s="348">
        <f t="shared" si="33"/>
        <v>0</v>
      </c>
      <c r="L314" s="78">
        <f>L315</f>
        <v>53</v>
      </c>
      <c r="M314" s="78">
        <f>M315</f>
        <v>54.2</v>
      </c>
      <c r="N314" s="346"/>
      <c r="O314" s="346"/>
    </row>
    <row r="315" spans="1:15" s="194" customFormat="1" ht="32.25" customHeight="1">
      <c r="A315" s="119" t="s">
        <v>763</v>
      </c>
      <c r="B315" s="352">
        <v>110</v>
      </c>
      <c r="C315" s="112" t="s">
        <v>95</v>
      </c>
      <c r="D315" s="111" t="s">
        <v>193</v>
      </c>
      <c r="E315" s="111" t="s">
        <v>137</v>
      </c>
      <c r="F315" s="111" t="s">
        <v>153</v>
      </c>
      <c r="G315" s="111" t="s">
        <v>203</v>
      </c>
      <c r="H315" s="111" t="s">
        <v>764</v>
      </c>
      <c r="I315" s="78">
        <v>51.8</v>
      </c>
      <c r="J315" s="78">
        <v>51.8</v>
      </c>
      <c r="K315" s="348">
        <f t="shared" si="33"/>
        <v>0</v>
      </c>
      <c r="L315" s="78">
        <v>53</v>
      </c>
      <c r="M315" s="78">
        <v>54.2</v>
      </c>
      <c r="N315" s="346"/>
      <c r="O315" s="346"/>
    </row>
    <row r="316" spans="1:15" s="194" customFormat="1" ht="49.5" customHeight="1">
      <c r="A316" s="109" t="s">
        <v>207</v>
      </c>
      <c r="B316" s="358">
        <v>110</v>
      </c>
      <c r="C316" s="107" t="s">
        <v>95</v>
      </c>
      <c r="D316" s="71" t="s">
        <v>193</v>
      </c>
      <c r="E316" s="71" t="s">
        <v>139</v>
      </c>
      <c r="F316" s="71" t="s">
        <v>155</v>
      </c>
      <c r="G316" s="71" t="s">
        <v>156</v>
      </c>
      <c r="H316" s="111"/>
      <c r="I316" s="37">
        <f aca="true" t="shared" si="34" ref="I316:M318">I317</f>
        <v>86045.4</v>
      </c>
      <c r="J316" s="37">
        <f t="shared" si="34"/>
        <v>84785.4</v>
      </c>
      <c r="K316" s="344">
        <f t="shared" si="33"/>
        <v>-1260</v>
      </c>
      <c r="L316" s="37">
        <f t="shared" si="34"/>
        <v>91982.4</v>
      </c>
      <c r="M316" s="37">
        <f t="shared" si="34"/>
        <v>91501.4</v>
      </c>
      <c r="N316" s="346"/>
      <c r="O316" s="346"/>
    </row>
    <row r="317" spans="1:15" s="194" customFormat="1" ht="51" customHeight="1">
      <c r="A317" s="122" t="s">
        <v>972</v>
      </c>
      <c r="B317" s="358">
        <v>110</v>
      </c>
      <c r="C317" s="107" t="s">
        <v>95</v>
      </c>
      <c r="D317" s="71" t="s">
        <v>193</v>
      </c>
      <c r="E317" s="71" t="s">
        <v>139</v>
      </c>
      <c r="F317" s="71" t="s">
        <v>153</v>
      </c>
      <c r="G317" s="71" t="s">
        <v>156</v>
      </c>
      <c r="H317" s="111"/>
      <c r="I317" s="37">
        <f t="shared" si="34"/>
        <v>86045.4</v>
      </c>
      <c r="J317" s="37">
        <f t="shared" si="34"/>
        <v>84785.4</v>
      </c>
      <c r="K317" s="344">
        <f t="shared" si="33"/>
        <v>-1260</v>
      </c>
      <c r="L317" s="37">
        <f t="shared" si="34"/>
        <v>91982.4</v>
      </c>
      <c r="M317" s="37">
        <f t="shared" si="34"/>
        <v>91501.4</v>
      </c>
      <c r="N317" s="346"/>
      <c r="O317" s="346"/>
    </row>
    <row r="318" spans="1:15" s="194" customFormat="1" ht="19.5" customHeight="1">
      <c r="A318" s="119" t="s">
        <v>200</v>
      </c>
      <c r="B318" s="352">
        <v>110</v>
      </c>
      <c r="C318" s="112" t="s">
        <v>95</v>
      </c>
      <c r="D318" s="111" t="s">
        <v>193</v>
      </c>
      <c r="E318" s="111" t="s">
        <v>139</v>
      </c>
      <c r="F318" s="111" t="s">
        <v>153</v>
      </c>
      <c r="G318" s="111" t="s">
        <v>201</v>
      </c>
      <c r="H318" s="111"/>
      <c r="I318" s="78">
        <f t="shared" si="34"/>
        <v>86045.4</v>
      </c>
      <c r="J318" s="78">
        <f t="shared" si="34"/>
        <v>84785.4</v>
      </c>
      <c r="K318" s="348">
        <f t="shared" si="33"/>
        <v>-1260</v>
      </c>
      <c r="L318" s="78">
        <f t="shared" si="34"/>
        <v>91982.4</v>
      </c>
      <c r="M318" s="78">
        <f t="shared" si="34"/>
        <v>91501.4</v>
      </c>
      <c r="N318" s="346"/>
      <c r="O318" s="346"/>
    </row>
    <row r="319" spans="1:15" s="194" customFormat="1" ht="30.75" customHeight="1">
      <c r="A319" s="114" t="s">
        <v>763</v>
      </c>
      <c r="B319" s="352">
        <v>110</v>
      </c>
      <c r="C319" s="112" t="s">
        <v>95</v>
      </c>
      <c r="D319" s="111" t="s">
        <v>193</v>
      </c>
      <c r="E319" s="111" t="s">
        <v>139</v>
      </c>
      <c r="F319" s="111" t="s">
        <v>153</v>
      </c>
      <c r="G319" s="111" t="s">
        <v>201</v>
      </c>
      <c r="H319" s="111" t="s">
        <v>764</v>
      </c>
      <c r="I319" s="78">
        <f>85290.8+2397.9-1643.3</f>
        <v>86045.4</v>
      </c>
      <c r="J319" s="78">
        <f>85290.8+2397.9-1643.3-1260</f>
        <v>84785.4</v>
      </c>
      <c r="K319" s="348">
        <f t="shared" si="33"/>
        <v>-1260</v>
      </c>
      <c r="L319" s="78">
        <v>91982.4</v>
      </c>
      <c r="M319" s="78">
        <f>97501.4-6000</f>
        <v>91501.4</v>
      </c>
      <c r="N319" s="346"/>
      <c r="O319" s="346"/>
    </row>
    <row r="320" spans="1:15" s="194" customFormat="1" ht="30.75" customHeight="1">
      <c r="A320" s="139" t="s">
        <v>231</v>
      </c>
      <c r="B320" s="343">
        <v>110</v>
      </c>
      <c r="C320" s="107" t="s">
        <v>95</v>
      </c>
      <c r="D320" s="107" t="s">
        <v>232</v>
      </c>
      <c r="E320" s="107" t="s">
        <v>154</v>
      </c>
      <c r="F320" s="107" t="s">
        <v>155</v>
      </c>
      <c r="G320" s="107" t="s">
        <v>156</v>
      </c>
      <c r="H320" s="71"/>
      <c r="I320" s="37">
        <f aca="true" t="shared" si="35" ref="I320:J323">I321</f>
        <v>0</v>
      </c>
      <c r="J320" s="37">
        <f t="shared" si="35"/>
        <v>1260</v>
      </c>
      <c r="K320" s="348">
        <f t="shared" si="33"/>
        <v>1260</v>
      </c>
      <c r="L320" s="37">
        <f aca="true" t="shared" si="36" ref="L320:M323">L321</f>
        <v>0</v>
      </c>
      <c r="M320" s="37">
        <f t="shared" si="36"/>
        <v>0</v>
      </c>
      <c r="N320" s="346"/>
      <c r="O320" s="346"/>
    </row>
    <row r="321" spans="1:15" s="194" customFormat="1" ht="33" customHeight="1">
      <c r="A321" s="139" t="s">
        <v>497</v>
      </c>
      <c r="B321" s="343">
        <v>110</v>
      </c>
      <c r="C321" s="107" t="s">
        <v>95</v>
      </c>
      <c r="D321" s="107" t="s">
        <v>232</v>
      </c>
      <c r="E321" s="107" t="s">
        <v>139</v>
      </c>
      <c r="F321" s="107" t="s">
        <v>155</v>
      </c>
      <c r="G321" s="107" t="s">
        <v>156</v>
      </c>
      <c r="H321" s="71"/>
      <c r="I321" s="37">
        <f t="shared" si="35"/>
        <v>0</v>
      </c>
      <c r="J321" s="37">
        <f t="shared" si="35"/>
        <v>1260</v>
      </c>
      <c r="K321" s="348">
        <f t="shared" si="33"/>
        <v>1260</v>
      </c>
      <c r="L321" s="37">
        <f t="shared" si="36"/>
        <v>0</v>
      </c>
      <c r="M321" s="37">
        <f t="shared" si="36"/>
        <v>0</v>
      </c>
      <c r="N321" s="346"/>
      <c r="O321" s="346"/>
    </row>
    <row r="322" spans="1:15" s="194" customFormat="1" ht="32.25" customHeight="1">
      <c r="A322" s="137" t="s">
        <v>268</v>
      </c>
      <c r="B322" s="343">
        <v>110</v>
      </c>
      <c r="C322" s="107" t="s">
        <v>95</v>
      </c>
      <c r="D322" s="107" t="s">
        <v>232</v>
      </c>
      <c r="E322" s="107" t="s">
        <v>139</v>
      </c>
      <c r="F322" s="107" t="s">
        <v>153</v>
      </c>
      <c r="G322" s="107" t="s">
        <v>156</v>
      </c>
      <c r="H322" s="71"/>
      <c r="I322" s="37">
        <f t="shared" si="35"/>
        <v>0</v>
      </c>
      <c r="J322" s="37">
        <f t="shared" si="35"/>
        <v>1260</v>
      </c>
      <c r="K322" s="348">
        <f t="shared" si="33"/>
        <v>1260</v>
      </c>
      <c r="L322" s="37">
        <f t="shared" si="36"/>
        <v>0</v>
      </c>
      <c r="M322" s="37">
        <f t="shared" si="36"/>
        <v>0</v>
      </c>
      <c r="N322" s="346"/>
      <c r="O322" s="346"/>
    </row>
    <row r="323" spans="1:15" s="194" customFormat="1" ht="35.25" customHeight="1">
      <c r="A323" s="121" t="s">
        <v>1218</v>
      </c>
      <c r="B323" s="347">
        <v>110</v>
      </c>
      <c r="C323" s="112" t="s">
        <v>95</v>
      </c>
      <c r="D323" s="112" t="s">
        <v>232</v>
      </c>
      <c r="E323" s="112" t="s">
        <v>139</v>
      </c>
      <c r="F323" s="112" t="s">
        <v>153</v>
      </c>
      <c r="G323" s="112" t="s">
        <v>1219</v>
      </c>
      <c r="H323" s="111"/>
      <c r="I323" s="78">
        <f t="shared" si="35"/>
        <v>0</v>
      </c>
      <c r="J323" s="78">
        <f t="shared" si="35"/>
        <v>1260</v>
      </c>
      <c r="K323" s="348">
        <f t="shared" si="33"/>
        <v>1260</v>
      </c>
      <c r="L323" s="78">
        <f t="shared" si="36"/>
        <v>0</v>
      </c>
      <c r="M323" s="78">
        <f t="shared" si="36"/>
        <v>0</v>
      </c>
      <c r="N323" s="346"/>
      <c r="O323" s="346"/>
    </row>
    <row r="324" spans="1:15" s="194" customFormat="1" ht="33" customHeight="1">
      <c r="A324" s="123" t="s">
        <v>763</v>
      </c>
      <c r="B324" s="347">
        <v>110</v>
      </c>
      <c r="C324" s="112" t="s">
        <v>95</v>
      </c>
      <c r="D324" s="112" t="s">
        <v>232</v>
      </c>
      <c r="E324" s="112" t="s">
        <v>139</v>
      </c>
      <c r="F324" s="112" t="s">
        <v>153</v>
      </c>
      <c r="G324" s="112" t="s">
        <v>1219</v>
      </c>
      <c r="H324" s="111" t="s">
        <v>764</v>
      </c>
      <c r="I324" s="78"/>
      <c r="J324" s="78">
        <v>1260</v>
      </c>
      <c r="K324" s="348">
        <f t="shared" si="33"/>
        <v>1260</v>
      </c>
      <c r="L324" s="78"/>
      <c r="M324" s="78"/>
      <c r="N324" s="346"/>
      <c r="O324" s="346"/>
    </row>
    <row r="325" spans="1:13" s="345" customFormat="1" ht="19.5" customHeight="1">
      <c r="A325" s="139" t="s">
        <v>441</v>
      </c>
      <c r="B325" s="358">
        <v>110</v>
      </c>
      <c r="C325" s="107" t="s">
        <v>95</v>
      </c>
      <c r="D325" s="71" t="s">
        <v>442</v>
      </c>
      <c r="E325" s="71" t="s">
        <v>154</v>
      </c>
      <c r="F325" s="71" t="s">
        <v>155</v>
      </c>
      <c r="G325" s="71" t="s">
        <v>156</v>
      </c>
      <c r="H325" s="71"/>
      <c r="I325" s="37">
        <f>I326</f>
        <v>2654</v>
      </c>
      <c r="J325" s="37">
        <f>J326</f>
        <v>2654</v>
      </c>
      <c r="K325" s="344">
        <f t="shared" si="33"/>
        <v>0</v>
      </c>
      <c r="L325" s="37">
        <f>L326</f>
        <v>0</v>
      </c>
      <c r="M325" s="37">
        <f>M326</f>
        <v>0</v>
      </c>
    </row>
    <row r="326" spans="1:13" s="345" customFormat="1" ht="18" customHeight="1">
      <c r="A326" s="136" t="s">
        <v>410</v>
      </c>
      <c r="B326" s="343">
        <v>110</v>
      </c>
      <c r="C326" s="107" t="s">
        <v>95</v>
      </c>
      <c r="D326" s="71" t="s">
        <v>442</v>
      </c>
      <c r="E326" s="71" t="s">
        <v>338</v>
      </c>
      <c r="F326" s="71" t="s">
        <v>155</v>
      </c>
      <c r="G326" s="71" t="s">
        <v>156</v>
      </c>
      <c r="H326" s="71"/>
      <c r="I326" s="37">
        <f>I327</f>
        <v>2654</v>
      </c>
      <c r="J326" s="37">
        <f>J327</f>
        <v>2654</v>
      </c>
      <c r="K326" s="344">
        <f t="shared" si="33"/>
        <v>0</v>
      </c>
      <c r="L326" s="37">
        <f>L327</f>
        <v>0</v>
      </c>
      <c r="M326" s="37">
        <f>M327</f>
        <v>0</v>
      </c>
    </row>
    <row r="327" spans="1:13" s="345" customFormat="1" ht="17.25" customHeight="1">
      <c r="A327" s="137" t="s">
        <v>410</v>
      </c>
      <c r="B327" s="343">
        <v>110</v>
      </c>
      <c r="C327" s="107" t="s">
        <v>95</v>
      </c>
      <c r="D327" s="71" t="s">
        <v>442</v>
      </c>
      <c r="E327" s="71" t="s">
        <v>338</v>
      </c>
      <c r="F327" s="71" t="s">
        <v>153</v>
      </c>
      <c r="G327" s="71" t="s">
        <v>156</v>
      </c>
      <c r="H327" s="71"/>
      <c r="I327" s="37">
        <f>I330+I328</f>
        <v>2654</v>
      </c>
      <c r="J327" s="37">
        <f>J330+J328</f>
        <v>2654</v>
      </c>
      <c r="K327" s="344">
        <f t="shared" si="33"/>
        <v>0</v>
      </c>
      <c r="L327" s="37">
        <f>L330+L328</f>
        <v>0</v>
      </c>
      <c r="M327" s="37">
        <f>M330+M328</f>
        <v>0</v>
      </c>
    </row>
    <row r="328" spans="1:13" s="345" customFormat="1" ht="20.25" customHeight="1">
      <c r="A328" s="123" t="s">
        <v>208</v>
      </c>
      <c r="B328" s="347">
        <v>110</v>
      </c>
      <c r="C328" s="112" t="s">
        <v>95</v>
      </c>
      <c r="D328" s="111" t="s">
        <v>442</v>
      </c>
      <c r="E328" s="111" t="s">
        <v>338</v>
      </c>
      <c r="F328" s="111" t="s">
        <v>153</v>
      </c>
      <c r="G328" s="111" t="s">
        <v>209</v>
      </c>
      <c r="H328" s="111"/>
      <c r="I328" s="78">
        <f>I329</f>
        <v>2654</v>
      </c>
      <c r="J328" s="78">
        <f>J329</f>
        <v>2654</v>
      </c>
      <c r="K328" s="348">
        <f t="shared" si="33"/>
        <v>0</v>
      </c>
      <c r="L328" s="78">
        <f>L329</f>
        <v>0</v>
      </c>
      <c r="M328" s="78">
        <f>M329</f>
        <v>0</v>
      </c>
    </row>
    <row r="329" spans="1:13" s="345" customFormat="1" ht="33" customHeight="1">
      <c r="A329" s="123" t="s">
        <v>763</v>
      </c>
      <c r="B329" s="347">
        <v>110</v>
      </c>
      <c r="C329" s="112" t="s">
        <v>95</v>
      </c>
      <c r="D329" s="111" t="s">
        <v>442</v>
      </c>
      <c r="E329" s="111" t="s">
        <v>338</v>
      </c>
      <c r="F329" s="111" t="s">
        <v>153</v>
      </c>
      <c r="G329" s="111" t="s">
        <v>209</v>
      </c>
      <c r="H329" s="111" t="s">
        <v>764</v>
      </c>
      <c r="I329" s="78">
        <v>2654</v>
      </c>
      <c r="J329" s="78">
        <f>2654</f>
        <v>2654</v>
      </c>
      <c r="K329" s="348">
        <f t="shared" si="33"/>
        <v>0</v>
      </c>
      <c r="L329" s="78"/>
      <c r="M329" s="78"/>
    </row>
    <row r="330" spans="1:13" s="345" customFormat="1" ht="23.25" customHeight="1" hidden="1">
      <c r="A330" s="121" t="s">
        <v>210</v>
      </c>
      <c r="B330" s="347">
        <v>110</v>
      </c>
      <c r="C330" s="112" t="s">
        <v>95</v>
      </c>
      <c r="D330" s="111" t="s">
        <v>442</v>
      </c>
      <c r="E330" s="111" t="s">
        <v>338</v>
      </c>
      <c r="F330" s="111" t="s">
        <v>153</v>
      </c>
      <c r="G330" s="111" t="s">
        <v>211</v>
      </c>
      <c r="H330" s="111"/>
      <c r="I330" s="78">
        <f>I331</f>
        <v>0</v>
      </c>
      <c r="J330" s="78">
        <f>J331</f>
        <v>0</v>
      </c>
      <c r="K330" s="348">
        <f t="shared" si="33"/>
        <v>0</v>
      </c>
      <c r="L330" s="78">
        <f>L331</f>
        <v>0</v>
      </c>
      <c r="M330" s="78">
        <f>M331</f>
        <v>0</v>
      </c>
    </row>
    <row r="331" spans="1:13" s="345" customFormat="1" ht="21" customHeight="1" hidden="1">
      <c r="A331" s="121" t="s">
        <v>763</v>
      </c>
      <c r="B331" s="347">
        <v>110</v>
      </c>
      <c r="C331" s="112" t="s">
        <v>95</v>
      </c>
      <c r="D331" s="111" t="s">
        <v>442</v>
      </c>
      <c r="E331" s="111" t="s">
        <v>338</v>
      </c>
      <c r="F331" s="111" t="s">
        <v>153</v>
      </c>
      <c r="G331" s="111" t="s">
        <v>211</v>
      </c>
      <c r="H331" s="111" t="s">
        <v>764</v>
      </c>
      <c r="I331" s="78"/>
      <c r="J331" s="132"/>
      <c r="K331" s="348">
        <f t="shared" si="33"/>
        <v>0</v>
      </c>
      <c r="L331" s="78"/>
      <c r="M331" s="78"/>
    </row>
    <row r="332" spans="1:13" s="345" customFormat="1" ht="18" customHeight="1">
      <c r="A332" s="139" t="s">
        <v>98</v>
      </c>
      <c r="B332" s="343" t="s">
        <v>24</v>
      </c>
      <c r="C332" s="107" t="s">
        <v>99</v>
      </c>
      <c r="D332" s="71"/>
      <c r="E332" s="71"/>
      <c r="F332" s="71"/>
      <c r="G332" s="71"/>
      <c r="H332" s="71"/>
      <c r="I332" s="37">
        <f>I333</f>
        <v>533.5</v>
      </c>
      <c r="J332" s="37">
        <f>J333</f>
        <v>533.5</v>
      </c>
      <c r="K332" s="344">
        <f t="shared" si="33"/>
        <v>0</v>
      </c>
      <c r="L332" s="37">
        <f>L333</f>
        <v>563.0999999999999</v>
      </c>
      <c r="M332" s="37">
        <f>M333</f>
        <v>573.3</v>
      </c>
    </row>
    <row r="333" spans="1:13" s="345" customFormat="1" ht="28.5" customHeight="1">
      <c r="A333" s="122" t="s">
        <v>898</v>
      </c>
      <c r="B333" s="343" t="s">
        <v>24</v>
      </c>
      <c r="C333" s="107" t="s">
        <v>99</v>
      </c>
      <c r="D333" s="71" t="s">
        <v>293</v>
      </c>
      <c r="E333" s="71" t="s">
        <v>154</v>
      </c>
      <c r="F333" s="71" t="s">
        <v>155</v>
      </c>
      <c r="G333" s="71" t="s">
        <v>156</v>
      </c>
      <c r="H333" s="71"/>
      <c r="I333" s="37">
        <f>I334+I354</f>
        <v>533.5</v>
      </c>
      <c r="J333" s="37">
        <f>J334+J354</f>
        <v>533.5</v>
      </c>
      <c r="K333" s="344">
        <f t="shared" si="33"/>
        <v>0</v>
      </c>
      <c r="L333" s="37">
        <f>L334+L354</f>
        <v>563.0999999999999</v>
      </c>
      <c r="M333" s="37">
        <f>M334+M354</f>
        <v>573.3</v>
      </c>
    </row>
    <row r="334" spans="1:13" s="345" customFormat="1" ht="36.75" customHeight="1">
      <c r="A334" s="122" t="s">
        <v>900</v>
      </c>
      <c r="B334" s="343" t="s">
        <v>24</v>
      </c>
      <c r="C334" s="107" t="s">
        <v>99</v>
      </c>
      <c r="D334" s="71" t="s">
        <v>293</v>
      </c>
      <c r="E334" s="71" t="s">
        <v>136</v>
      </c>
      <c r="F334" s="71" t="s">
        <v>155</v>
      </c>
      <c r="G334" s="71" t="s">
        <v>156</v>
      </c>
      <c r="H334" s="71"/>
      <c r="I334" s="37">
        <f>I335+I338+I343+I346+I349</f>
        <v>497.49999999999994</v>
      </c>
      <c r="J334" s="37">
        <f>J335+J338+J343+J346+J349</f>
        <v>497.49999999999994</v>
      </c>
      <c r="K334" s="344">
        <f t="shared" si="33"/>
        <v>0</v>
      </c>
      <c r="L334" s="37">
        <f>L335+L338+L343+L346+L349</f>
        <v>526.3</v>
      </c>
      <c r="M334" s="37">
        <f>M335+M338+M343+M346+M349</f>
        <v>536.3</v>
      </c>
    </row>
    <row r="335" spans="1:13" s="345" customFormat="1" ht="36" customHeight="1">
      <c r="A335" s="122" t="s">
        <v>899</v>
      </c>
      <c r="B335" s="343" t="s">
        <v>24</v>
      </c>
      <c r="C335" s="107" t="s">
        <v>99</v>
      </c>
      <c r="D335" s="71" t="s">
        <v>293</v>
      </c>
      <c r="E335" s="71" t="s">
        <v>136</v>
      </c>
      <c r="F335" s="71" t="s">
        <v>153</v>
      </c>
      <c r="G335" s="71" t="s">
        <v>156</v>
      </c>
      <c r="H335" s="71"/>
      <c r="I335" s="37">
        <f aca="true" t="shared" si="37" ref="I335:M336">I336</f>
        <v>70.8</v>
      </c>
      <c r="J335" s="37">
        <f t="shared" si="37"/>
        <v>70.8</v>
      </c>
      <c r="K335" s="344">
        <f t="shared" si="33"/>
        <v>0</v>
      </c>
      <c r="L335" s="37">
        <f t="shared" si="37"/>
        <v>72.4</v>
      </c>
      <c r="M335" s="37">
        <f t="shared" si="37"/>
        <v>74</v>
      </c>
    </row>
    <row r="336" spans="1:13" s="345" customFormat="1" ht="51" customHeight="1">
      <c r="A336" s="127" t="s">
        <v>967</v>
      </c>
      <c r="B336" s="347" t="s">
        <v>24</v>
      </c>
      <c r="C336" s="112" t="s">
        <v>99</v>
      </c>
      <c r="D336" s="111" t="s">
        <v>293</v>
      </c>
      <c r="E336" s="111" t="s">
        <v>136</v>
      </c>
      <c r="F336" s="111" t="s">
        <v>153</v>
      </c>
      <c r="G336" s="111" t="s">
        <v>532</v>
      </c>
      <c r="H336" s="111"/>
      <c r="I336" s="78">
        <f t="shared" si="37"/>
        <v>70.8</v>
      </c>
      <c r="J336" s="78">
        <f t="shared" si="37"/>
        <v>70.8</v>
      </c>
      <c r="K336" s="348">
        <f t="shared" si="33"/>
        <v>0</v>
      </c>
      <c r="L336" s="78">
        <f t="shared" si="37"/>
        <v>72.4</v>
      </c>
      <c r="M336" s="78">
        <f t="shared" si="37"/>
        <v>74</v>
      </c>
    </row>
    <row r="337" spans="1:13" s="345" customFormat="1" ht="21" customHeight="1">
      <c r="A337" s="123" t="s">
        <v>765</v>
      </c>
      <c r="B337" s="347" t="s">
        <v>24</v>
      </c>
      <c r="C337" s="112" t="s">
        <v>99</v>
      </c>
      <c r="D337" s="111" t="s">
        <v>293</v>
      </c>
      <c r="E337" s="111" t="s">
        <v>136</v>
      </c>
      <c r="F337" s="111" t="s">
        <v>153</v>
      </c>
      <c r="G337" s="111" t="s">
        <v>532</v>
      </c>
      <c r="H337" s="111" t="s">
        <v>766</v>
      </c>
      <c r="I337" s="78">
        <v>70.8</v>
      </c>
      <c r="J337" s="78">
        <v>70.8</v>
      </c>
      <c r="K337" s="348">
        <f t="shared" si="33"/>
        <v>0</v>
      </c>
      <c r="L337" s="78">
        <v>72.4</v>
      </c>
      <c r="M337" s="78">
        <v>74</v>
      </c>
    </row>
    <row r="338" spans="1:13" s="345" customFormat="1" ht="33" customHeight="1">
      <c r="A338" s="128" t="s">
        <v>958</v>
      </c>
      <c r="B338" s="343" t="s">
        <v>24</v>
      </c>
      <c r="C338" s="107" t="s">
        <v>99</v>
      </c>
      <c r="D338" s="71" t="s">
        <v>293</v>
      </c>
      <c r="E338" s="71" t="s">
        <v>136</v>
      </c>
      <c r="F338" s="71" t="s">
        <v>166</v>
      </c>
      <c r="G338" s="71" t="s">
        <v>156</v>
      </c>
      <c r="H338" s="71"/>
      <c r="I338" s="37">
        <f>I339+I341</f>
        <v>245.9</v>
      </c>
      <c r="J338" s="37">
        <f>J339+J341</f>
        <v>245.9</v>
      </c>
      <c r="K338" s="348">
        <f t="shared" si="33"/>
        <v>0</v>
      </c>
      <c r="L338" s="37">
        <f>L339+L341</f>
        <v>268.9</v>
      </c>
      <c r="M338" s="37">
        <f>M339+M341</f>
        <v>271.3</v>
      </c>
    </row>
    <row r="339" spans="1:13" s="345" customFormat="1" ht="48.75" customHeight="1">
      <c r="A339" s="123" t="s">
        <v>534</v>
      </c>
      <c r="B339" s="347" t="s">
        <v>24</v>
      </c>
      <c r="C339" s="112" t="s">
        <v>99</v>
      </c>
      <c r="D339" s="111" t="s">
        <v>293</v>
      </c>
      <c r="E339" s="111" t="s">
        <v>136</v>
      </c>
      <c r="F339" s="111" t="s">
        <v>166</v>
      </c>
      <c r="G339" s="111" t="s">
        <v>533</v>
      </c>
      <c r="H339" s="111"/>
      <c r="I339" s="78">
        <f>I340</f>
        <v>71.9</v>
      </c>
      <c r="J339" s="78">
        <f>J340</f>
        <v>71.9</v>
      </c>
      <c r="K339" s="348">
        <f t="shared" si="33"/>
        <v>0</v>
      </c>
      <c r="L339" s="78">
        <f>L340</f>
        <v>73.6</v>
      </c>
      <c r="M339" s="78">
        <f>M340</f>
        <v>76</v>
      </c>
    </row>
    <row r="340" spans="1:13" s="345" customFormat="1" ht="18" customHeight="1">
      <c r="A340" s="123" t="s">
        <v>767</v>
      </c>
      <c r="B340" s="347" t="s">
        <v>24</v>
      </c>
      <c r="C340" s="112" t="s">
        <v>99</v>
      </c>
      <c r="D340" s="111" t="s">
        <v>293</v>
      </c>
      <c r="E340" s="111" t="s">
        <v>136</v>
      </c>
      <c r="F340" s="111" t="s">
        <v>166</v>
      </c>
      <c r="G340" s="111" t="s">
        <v>533</v>
      </c>
      <c r="H340" s="111" t="s">
        <v>766</v>
      </c>
      <c r="I340" s="78">
        <v>71.9</v>
      </c>
      <c r="J340" s="78">
        <v>71.9</v>
      </c>
      <c r="K340" s="348">
        <f t="shared" si="33"/>
        <v>0</v>
      </c>
      <c r="L340" s="78">
        <v>73.6</v>
      </c>
      <c r="M340" s="78">
        <v>76</v>
      </c>
    </row>
    <row r="341" spans="1:13" s="345" customFormat="1" ht="47.25" customHeight="1">
      <c r="A341" s="123" t="s">
        <v>512</v>
      </c>
      <c r="B341" s="347">
        <v>110</v>
      </c>
      <c r="C341" s="112" t="s">
        <v>99</v>
      </c>
      <c r="D341" s="111" t="s">
        <v>293</v>
      </c>
      <c r="E341" s="111" t="s">
        <v>136</v>
      </c>
      <c r="F341" s="111" t="s">
        <v>166</v>
      </c>
      <c r="G341" s="111" t="s">
        <v>840</v>
      </c>
      <c r="H341" s="111"/>
      <c r="I341" s="78">
        <f>I342</f>
        <v>174</v>
      </c>
      <c r="J341" s="78">
        <f>J342</f>
        <v>174</v>
      </c>
      <c r="K341" s="348">
        <f t="shared" si="33"/>
        <v>0</v>
      </c>
      <c r="L341" s="78">
        <f>L342</f>
        <v>195.3</v>
      </c>
      <c r="M341" s="78">
        <f>M342</f>
        <v>195.3</v>
      </c>
    </row>
    <row r="342" spans="1:13" s="345" customFormat="1" ht="18.75" customHeight="1">
      <c r="A342" s="123" t="s">
        <v>767</v>
      </c>
      <c r="B342" s="347">
        <v>110</v>
      </c>
      <c r="C342" s="112" t="s">
        <v>99</v>
      </c>
      <c r="D342" s="111" t="s">
        <v>293</v>
      </c>
      <c r="E342" s="111" t="s">
        <v>136</v>
      </c>
      <c r="F342" s="111" t="s">
        <v>166</v>
      </c>
      <c r="G342" s="111" t="s">
        <v>840</v>
      </c>
      <c r="H342" s="347">
        <v>500</v>
      </c>
      <c r="I342" s="78">
        <f>191.3-17.3</f>
        <v>174</v>
      </c>
      <c r="J342" s="78">
        <f>191.3-17.3</f>
        <v>174</v>
      </c>
      <c r="K342" s="348">
        <f t="shared" si="33"/>
        <v>0</v>
      </c>
      <c r="L342" s="78">
        <v>195.3</v>
      </c>
      <c r="M342" s="78">
        <v>195.3</v>
      </c>
    </row>
    <row r="343" spans="1:13" s="345" customFormat="1" ht="33" customHeight="1">
      <c r="A343" s="128" t="s">
        <v>901</v>
      </c>
      <c r="B343" s="343" t="s">
        <v>24</v>
      </c>
      <c r="C343" s="107" t="s">
        <v>99</v>
      </c>
      <c r="D343" s="71" t="s">
        <v>293</v>
      </c>
      <c r="E343" s="71" t="s">
        <v>136</v>
      </c>
      <c r="F343" s="71" t="s">
        <v>180</v>
      </c>
      <c r="G343" s="71" t="s">
        <v>156</v>
      </c>
      <c r="H343" s="71"/>
      <c r="I343" s="37">
        <f aca="true" t="shared" si="38" ref="I343:M344">I344</f>
        <v>97.6</v>
      </c>
      <c r="J343" s="37">
        <f t="shared" si="38"/>
        <v>97.6</v>
      </c>
      <c r="K343" s="344">
        <f t="shared" si="33"/>
        <v>0</v>
      </c>
      <c r="L343" s="37">
        <f t="shared" si="38"/>
        <v>99.9</v>
      </c>
      <c r="M343" s="37">
        <f t="shared" si="38"/>
        <v>100</v>
      </c>
    </row>
    <row r="344" spans="1:13" s="345" customFormat="1" ht="36.75" customHeight="1">
      <c r="A344" s="114" t="s">
        <v>968</v>
      </c>
      <c r="B344" s="347" t="s">
        <v>24</v>
      </c>
      <c r="C344" s="112" t="s">
        <v>99</v>
      </c>
      <c r="D344" s="111" t="s">
        <v>293</v>
      </c>
      <c r="E344" s="111" t="s">
        <v>136</v>
      </c>
      <c r="F344" s="111" t="s">
        <v>180</v>
      </c>
      <c r="G344" s="111" t="s">
        <v>535</v>
      </c>
      <c r="H344" s="111"/>
      <c r="I344" s="78">
        <f t="shared" si="38"/>
        <v>97.6</v>
      </c>
      <c r="J344" s="78">
        <f t="shared" si="38"/>
        <v>97.6</v>
      </c>
      <c r="K344" s="348">
        <f t="shared" si="33"/>
        <v>0</v>
      </c>
      <c r="L344" s="78">
        <f t="shared" si="38"/>
        <v>99.9</v>
      </c>
      <c r="M344" s="78">
        <f t="shared" si="38"/>
        <v>100</v>
      </c>
    </row>
    <row r="345" spans="1:13" s="345" customFormat="1" ht="21.75" customHeight="1">
      <c r="A345" s="123" t="s">
        <v>767</v>
      </c>
      <c r="B345" s="347" t="s">
        <v>24</v>
      </c>
      <c r="C345" s="112" t="s">
        <v>99</v>
      </c>
      <c r="D345" s="111" t="s">
        <v>293</v>
      </c>
      <c r="E345" s="111" t="s">
        <v>136</v>
      </c>
      <c r="F345" s="111" t="s">
        <v>180</v>
      </c>
      <c r="G345" s="111" t="s">
        <v>535</v>
      </c>
      <c r="H345" s="111" t="s">
        <v>766</v>
      </c>
      <c r="I345" s="78">
        <v>97.6</v>
      </c>
      <c r="J345" s="78">
        <v>97.6</v>
      </c>
      <c r="K345" s="348">
        <f t="shared" si="33"/>
        <v>0</v>
      </c>
      <c r="L345" s="78">
        <v>99.9</v>
      </c>
      <c r="M345" s="78">
        <v>100</v>
      </c>
    </row>
    <row r="346" spans="1:13" s="345" customFormat="1" ht="33" customHeight="1">
      <c r="A346" s="128" t="s">
        <v>397</v>
      </c>
      <c r="B346" s="343" t="s">
        <v>24</v>
      </c>
      <c r="C346" s="107" t="s">
        <v>99</v>
      </c>
      <c r="D346" s="71" t="s">
        <v>293</v>
      </c>
      <c r="E346" s="71" t="s">
        <v>136</v>
      </c>
      <c r="F346" s="71" t="s">
        <v>193</v>
      </c>
      <c r="G346" s="71" t="s">
        <v>156</v>
      </c>
      <c r="H346" s="71"/>
      <c r="I346" s="37">
        <f aca="true" t="shared" si="39" ref="I346:M347">I347</f>
        <v>20.5</v>
      </c>
      <c r="J346" s="37">
        <f t="shared" si="39"/>
        <v>20.5</v>
      </c>
      <c r="K346" s="344">
        <f t="shared" si="33"/>
        <v>0</v>
      </c>
      <c r="L346" s="37">
        <f t="shared" si="39"/>
        <v>21</v>
      </c>
      <c r="M346" s="37">
        <f t="shared" si="39"/>
        <v>25</v>
      </c>
    </row>
    <row r="347" spans="1:15" s="346" customFormat="1" ht="33" customHeight="1">
      <c r="A347" s="123" t="s">
        <v>937</v>
      </c>
      <c r="B347" s="347" t="s">
        <v>24</v>
      </c>
      <c r="C347" s="112" t="s">
        <v>99</v>
      </c>
      <c r="D347" s="111" t="s">
        <v>293</v>
      </c>
      <c r="E347" s="111" t="s">
        <v>136</v>
      </c>
      <c r="F347" s="111" t="s">
        <v>193</v>
      </c>
      <c r="G347" s="111" t="s">
        <v>536</v>
      </c>
      <c r="H347" s="111"/>
      <c r="I347" s="78">
        <f t="shared" si="39"/>
        <v>20.5</v>
      </c>
      <c r="J347" s="78">
        <f t="shared" si="39"/>
        <v>20.5</v>
      </c>
      <c r="K347" s="348">
        <f t="shared" si="33"/>
        <v>0</v>
      </c>
      <c r="L347" s="78">
        <f t="shared" si="39"/>
        <v>21</v>
      </c>
      <c r="M347" s="78">
        <f t="shared" si="39"/>
        <v>25</v>
      </c>
      <c r="N347" s="350"/>
      <c r="O347" s="350"/>
    </row>
    <row r="348" spans="1:15" s="194" customFormat="1" ht="19.5" customHeight="1">
      <c r="A348" s="123" t="s">
        <v>767</v>
      </c>
      <c r="B348" s="347" t="s">
        <v>24</v>
      </c>
      <c r="C348" s="112" t="s">
        <v>99</v>
      </c>
      <c r="D348" s="111" t="s">
        <v>293</v>
      </c>
      <c r="E348" s="111" t="s">
        <v>136</v>
      </c>
      <c r="F348" s="111" t="s">
        <v>193</v>
      </c>
      <c r="G348" s="111" t="s">
        <v>536</v>
      </c>
      <c r="H348" s="111" t="s">
        <v>766</v>
      </c>
      <c r="I348" s="78">
        <v>20.5</v>
      </c>
      <c r="J348" s="78">
        <v>20.5</v>
      </c>
      <c r="K348" s="348">
        <f t="shared" si="33"/>
        <v>0</v>
      </c>
      <c r="L348" s="78">
        <v>21</v>
      </c>
      <c r="M348" s="78">
        <v>25</v>
      </c>
      <c r="N348" s="350"/>
      <c r="O348" s="350"/>
    </row>
    <row r="349" spans="1:13" s="350" customFormat="1" ht="50.25" customHeight="1">
      <c r="A349" s="128" t="s">
        <v>902</v>
      </c>
      <c r="B349" s="343" t="s">
        <v>24</v>
      </c>
      <c r="C349" s="107" t="s">
        <v>99</v>
      </c>
      <c r="D349" s="71" t="s">
        <v>293</v>
      </c>
      <c r="E349" s="71" t="s">
        <v>136</v>
      </c>
      <c r="F349" s="71" t="s">
        <v>215</v>
      </c>
      <c r="G349" s="71" t="s">
        <v>156</v>
      </c>
      <c r="H349" s="71"/>
      <c r="I349" s="37">
        <f>I350+I352</f>
        <v>62.7</v>
      </c>
      <c r="J349" s="37">
        <f>J350+J352</f>
        <v>62.70000000000001</v>
      </c>
      <c r="K349" s="344">
        <f t="shared" si="33"/>
        <v>0</v>
      </c>
      <c r="L349" s="37">
        <f>L350+L352</f>
        <v>64.1</v>
      </c>
      <c r="M349" s="37">
        <f>M350+M352</f>
        <v>66</v>
      </c>
    </row>
    <row r="350" spans="1:13" s="194" customFormat="1" ht="48.75" customHeight="1">
      <c r="A350" s="123" t="s">
        <v>540</v>
      </c>
      <c r="B350" s="347">
        <v>110</v>
      </c>
      <c r="C350" s="112" t="s">
        <v>99</v>
      </c>
      <c r="D350" s="111" t="s">
        <v>293</v>
      </c>
      <c r="E350" s="111" t="s">
        <v>136</v>
      </c>
      <c r="F350" s="111" t="s">
        <v>215</v>
      </c>
      <c r="G350" s="111" t="s">
        <v>537</v>
      </c>
      <c r="H350" s="111"/>
      <c r="I350" s="78">
        <f>I351</f>
        <v>40.4</v>
      </c>
      <c r="J350" s="78">
        <f>J351</f>
        <v>40.4</v>
      </c>
      <c r="K350" s="348">
        <f t="shared" si="33"/>
        <v>0</v>
      </c>
      <c r="L350" s="78">
        <f>L351</f>
        <v>40.4</v>
      </c>
      <c r="M350" s="78">
        <f>M351</f>
        <v>42</v>
      </c>
    </row>
    <row r="351" spans="1:15" s="194" customFormat="1" ht="20.25" customHeight="1">
      <c r="A351" s="123" t="s">
        <v>767</v>
      </c>
      <c r="B351" s="347">
        <v>110</v>
      </c>
      <c r="C351" s="112" t="s">
        <v>99</v>
      </c>
      <c r="D351" s="111" t="s">
        <v>293</v>
      </c>
      <c r="E351" s="111" t="s">
        <v>136</v>
      </c>
      <c r="F351" s="111" t="s">
        <v>215</v>
      </c>
      <c r="G351" s="111" t="s">
        <v>537</v>
      </c>
      <c r="H351" s="111" t="s">
        <v>766</v>
      </c>
      <c r="I351" s="78">
        <v>40.4</v>
      </c>
      <c r="J351" s="78">
        <v>40.4</v>
      </c>
      <c r="K351" s="348">
        <f t="shared" si="33"/>
        <v>0</v>
      </c>
      <c r="L351" s="78">
        <v>40.4</v>
      </c>
      <c r="M351" s="78">
        <v>42</v>
      </c>
      <c r="N351" s="345"/>
      <c r="O351" s="345"/>
    </row>
    <row r="352" spans="1:15" s="345" customFormat="1" ht="18.75" customHeight="1">
      <c r="A352" s="123" t="s">
        <v>398</v>
      </c>
      <c r="B352" s="347">
        <v>110</v>
      </c>
      <c r="C352" s="112" t="s">
        <v>99</v>
      </c>
      <c r="D352" s="111" t="s">
        <v>293</v>
      </c>
      <c r="E352" s="111" t="s">
        <v>136</v>
      </c>
      <c r="F352" s="111" t="s">
        <v>215</v>
      </c>
      <c r="G352" s="111" t="s">
        <v>399</v>
      </c>
      <c r="H352" s="111"/>
      <c r="I352" s="78">
        <f>I353</f>
        <v>22.3</v>
      </c>
      <c r="J352" s="78">
        <f>J353</f>
        <v>22.30000000000001</v>
      </c>
      <c r="K352" s="348">
        <f t="shared" si="33"/>
        <v>0</v>
      </c>
      <c r="L352" s="78">
        <f>L353</f>
        <v>23.7</v>
      </c>
      <c r="M352" s="78">
        <f>M353</f>
        <v>24</v>
      </c>
      <c r="N352" s="346"/>
      <c r="O352" s="346"/>
    </row>
    <row r="353" spans="1:13" s="346" customFormat="1" ht="18" customHeight="1">
      <c r="A353" s="123" t="s">
        <v>767</v>
      </c>
      <c r="B353" s="347">
        <v>110</v>
      </c>
      <c r="C353" s="112" t="s">
        <v>99</v>
      </c>
      <c r="D353" s="111" t="s">
        <v>293</v>
      </c>
      <c r="E353" s="111" t="s">
        <v>136</v>
      </c>
      <c r="F353" s="111" t="s">
        <v>215</v>
      </c>
      <c r="G353" s="111" t="s">
        <v>399</v>
      </c>
      <c r="H353" s="111" t="s">
        <v>766</v>
      </c>
      <c r="I353" s="78">
        <v>22.3</v>
      </c>
      <c r="J353" s="78">
        <f>22.3+223-223</f>
        <v>22.30000000000001</v>
      </c>
      <c r="K353" s="348">
        <f t="shared" si="33"/>
        <v>0</v>
      </c>
      <c r="L353" s="78">
        <v>23.7</v>
      </c>
      <c r="M353" s="78">
        <v>24</v>
      </c>
    </row>
    <row r="354" spans="1:13" s="346" customFormat="1" ht="34.5" customHeight="1">
      <c r="A354" s="136" t="s">
        <v>400</v>
      </c>
      <c r="B354" s="343" t="s">
        <v>24</v>
      </c>
      <c r="C354" s="107" t="s">
        <v>99</v>
      </c>
      <c r="D354" s="71" t="s">
        <v>293</v>
      </c>
      <c r="E354" s="71" t="s">
        <v>137</v>
      </c>
      <c r="F354" s="71" t="s">
        <v>155</v>
      </c>
      <c r="G354" s="71" t="s">
        <v>156</v>
      </c>
      <c r="H354" s="71"/>
      <c r="I354" s="37">
        <f>I355</f>
        <v>36</v>
      </c>
      <c r="J354" s="37">
        <f>J355</f>
        <v>36</v>
      </c>
      <c r="K354" s="344">
        <f t="shared" si="33"/>
        <v>0</v>
      </c>
      <c r="L354" s="37">
        <f>L355</f>
        <v>36.8</v>
      </c>
      <c r="M354" s="37">
        <f>M355</f>
        <v>37</v>
      </c>
    </row>
    <row r="355" spans="1:13" s="345" customFormat="1" ht="34.5" customHeight="1">
      <c r="A355" s="137" t="s">
        <v>903</v>
      </c>
      <c r="B355" s="343" t="s">
        <v>24</v>
      </c>
      <c r="C355" s="107" t="s">
        <v>99</v>
      </c>
      <c r="D355" s="71" t="s">
        <v>293</v>
      </c>
      <c r="E355" s="71" t="s">
        <v>137</v>
      </c>
      <c r="F355" s="71" t="s">
        <v>153</v>
      </c>
      <c r="G355" s="71" t="s">
        <v>156</v>
      </c>
      <c r="H355" s="71"/>
      <c r="I355" s="37">
        <f>I356+I358</f>
        <v>36</v>
      </c>
      <c r="J355" s="37">
        <f>J356+J358</f>
        <v>36</v>
      </c>
      <c r="K355" s="344">
        <f t="shared" si="33"/>
        <v>0</v>
      </c>
      <c r="L355" s="37">
        <f>L356+L358</f>
        <v>36.8</v>
      </c>
      <c r="M355" s="37">
        <f>M356+M358</f>
        <v>37</v>
      </c>
    </row>
    <row r="356" spans="1:15" s="346" customFormat="1" ht="36" customHeight="1">
      <c r="A356" s="123" t="s">
        <v>538</v>
      </c>
      <c r="B356" s="347" t="s">
        <v>24</v>
      </c>
      <c r="C356" s="112" t="s">
        <v>99</v>
      </c>
      <c r="D356" s="111" t="s">
        <v>293</v>
      </c>
      <c r="E356" s="111" t="s">
        <v>137</v>
      </c>
      <c r="F356" s="111" t="s">
        <v>153</v>
      </c>
      <c r="G356" s="111" t="s">
        <v>539</v>
      </c>
      <c r="H356" s="111"/>
      <c r="I356" s="78">
        <f>I357</f>
        <v>27.1</v>
      </c>
      <c r="J356" s="78">
        <f>J357</f>
        <v>27.1</v>
      </c>
      <c r="K356" s="348">
        <f t="shared" si="33"/>
        <v>0</v>
      </c>
      <c r="L356" s="78">
        <f>L357</f>
        <v>27.9</v>
      </c>
      <c r="M356" s="78">
        <f>M357</f>
        <v>27</v>
      </c>
      <c r="N356" s="345"/>
      <c r="O356" s="345"/>
    </row>
    <row r="357" spans="1:15" s="346" customFormat="1" ht="16.5" customHeight="1">
      <c r="A357" s="123" t="s">
        <v>767</v>
      </c>
      <c r="B357" s="347" t="s">
        <v>24</v>
      </c>
      <c r="C357" s="112" t="s">
        <v>99</v>
      </c>
      <c r="D357" s="111" t="s">
        <v>293</v>
      </c>
      <c r="E357" s="111" t="s">
        <v>137</v>
      </c>
      <c r="F357" s="111" t="s">
        <v>153</v>
      </c>
      <c r="G357" s="111" t="s">
        <v>539</v>
      </c>
      <c r="H357" s="111" t="s">
        <v>766</v>
      </c>
      <c r="I357" s="78">
        <v>27.1</v>
      </c>
      <c r="J357" s="78">
        <v>27.1</v>
      </c>
      <c r="K357" s="348">
        <f t="shared" si="33"/>
        <v>0</v>
      </c>
      <c r="L357" s="78">
        <v>27.9</v>
      </c>
      <c r="M357" s="78">
        <v>27</v>
      </c>
      <c r="N357" s="345"/>
      <c r="O357" s="345"/>
    </row>
    <row r="358" spans="1:15" s="345" customFormat="1" ht="36" customHeight="1">
      <c r="A358" s="123" t="s">
        <v>401</v>
      </c>
      <c r="B358" s="347">
        <v>110</v>
      </c>
      <c r="C358" s="112" t="s">
        <v>99</v>
      </c>
      <c r="D358" s="111" t="s">
        <v>293</v>
      </c>
      <c r="E358" s="111" t="s">
        <v>137</v>
      </c>
      <c r="F358" s="111" t="s">
        <v>153</v>
      </c>
      <c r="G358" s="111" t="s">
        <v>402</v>
      </c>
      <c r="H358" s="111"/>
      <c r="I358" s="78">
        <f>I359</f>
        <v>8.9</v>
      </c>
      <c r="J358" s="78">
        <f>J359</f>
        <v>8.9</v>
      </c>
      <c r="K358" s="348">
        <f t="shared" si="33"/>
        <v>0</v>
      </c>
      <c r="L358" s="78">
        <f>L359</f>
        <v>8.9</v>
      </c>
      <c r="M358" s="78">
        <f>M359</f>
        <v>10</v>
      </c>
      <c r="N358" s="346"/>
      <c r="O358" s="346"/>
    </row>
    <row r="359" spans="1:15" s="345" customFormat="1" ht="17.25" customHeight="1">
      <c r="A359" s="123" t="s">
        <v>767</v>
      </c>
      <c r="B359" s="347">
        <v>110</v>
      </c>
      <c r="C359" s="112" t="s">
        <v>99</v>
      </c>
      <c r="D359" s="111" t="s">
        <v>293</v>
      </c>
      <c r="E359" s="111" t="s">
        <v>137</v>
      </c>
      <c r="F359" s="111" t="s">
        <v>153</v>
      </c>
      <c r="G359" s="111" t="s">
        <v>402</v>
      </c>
      <c r="H359" s="111" t="s">
        <v>766</v>
      </c>
      <c r="I359" s="78">
        <v>8.9</v>
      </c>
      <c r="J359" s="78">
        <v>8.9</v>
      </c>
      <c r="K359" s="348">
        <f t="shared" si="33"/>
        <v>0</v>
      </c>
      <c r="L359" s="78">
        <v>8.9</v>
      </c>
      <c r="M359" s="78">
        <v>10</v>
      </c>
      <c r="N359" s="346"/>
      <c r="O359" s="346"/>
    </row>
    <row r="360" spans="1:13" s="345" customFormat="1" ht="16.5" customHeight="1">
      <c r="A360" s="139" t="s">
        <v>102</v>
      </c>
      <c r="B360" s="343">
        <v>110</v>
      </c>
      <c r="C360" s="107" t="s">
        <v>103</v>
      </c>
      <c r="D360" s="71"/>
      <c r="E360" s="71"/>
      <c r="F360" s="71"/>
      <c r="G360" s="71"/>
      <c r="H360" s="71"/>
      <c r="I360" s="37">
        <f aca="true" t="shared" si="40" ref="I360:M361">I361</f>
        <v>10888.7</v>
      </c>
      <c r="J360" s="37">
        <f t="shared" si="40"/>
        <v>11253.699999999999</v>
      </c>
      <c r="K360" s="344">
        <f t="shared" si="33"/>
        <v>364.9999999999982</v>
      </c>
      <c r="L360" s="37">
        <f t="shared" si="40"/>
        <v>8199</v>
      </c>
      <c r="M360" s="37">
        <f t="shared" si="40"/>
        <v>8517.3</v>
      </c>
    </row>
    <row r="361" spans="1:15" s="345" customFormat="1" ht="18" customHeight="1">
      <c r="A361" s="139" t="s">
        <v>104</v>
      </c>
      <c r="B361" s="343">
        <v>110</v>
      </c>
      <c r="C361" s="107" t="s">
        <v>105</v>
      </c>
      <c r="D361" s="71"/>
      <c r="E361" s="71"/>
      <c r="F361" s="71"/>
      <c r="G361" s="71"/>
      <c r="H361" s="71"/>
      <c r="I361" s="37">
        <f t="shared" si="40"/>
        <v>10888.7</v>
      </c>
      <c r="J361" s="37">
        <f t="shared" si="40"/>
        <v>11253.699999999999</v>
      </c>
      <c r="K361" s="344">
        <f t="shared" si="33"/>
        <v>364.9999999999982</v>
      </c>
      <c r="L361" s="37">
        <f t="shared" si="40"/>
        <v>8199</v>
      </c>
      <c r="M361" s="37">
        <f t="shared" si="40"/>
        <v>8517.3</v>
      </c>
      <c r="N361" s="346"/>
      <c r="O361" s="346"/>
    </row>
    <row r="362" spans="1:15" s="345" customFormat="1" ht="30.75" customHeight="1">
      <c r="A362" s="139" t="s">
        <v>192</v>
      </c>
      <c r="B362" s="343">
        <v>110</v>
      </c>
      <c r="C362" s="107" t="s">
        <v>105</v>
      </c>
      <c r="D362" s="71" t="s">
        <v>193</v>
      </c>
      <c r="E362" s="71" t="s">
        <v>154</v>
      </c>
      <c r="F362" s="71" t="s">
        <v>155</v>
      </c>
      <c r="G362" s="71" t="s">
        <v>156</v>
      </c>
      <c r="H362" s="71"/>
      <c r="I362" s="37">
        <f>I363+I381+I389</f>
        <v>10888.7</v>
      </c>
      <c r="J362" s="37">
        <f>J363+J381+J389</f>
        <v>11253.699999999999</v>
      </c>
      <c r="K362" s="344">
        <f t="shared" si="33"/>
        <v>364.9999999999982</v>
      </c>
      <c r="L362" s="37">
        <f>L363+L381+L389</f>
        <v>8199</v>
      </c>
      <c r="M362" s="37">
        <f>M363+M381+M389</f>
        <v>8517.3</v>
      </c>
      <c r="N362" s="346"/>
      <c r="O362" s="346"/>
    </row>
    <row r="363" spans="1:13" s="346" customFormat="1" ht="35.25" customHeight="1">
      <c r="A363" s="136" t="s">
        <v>499</v>
      </c>
      <c r="B363" s="343">
        <v>110</v>
      </c>
      <c r="C363" s="107" t="s">
        <v>105</v>
      </c>
      <c r="D363" s="71" t="s">
        <v>193</v>
      </c>
      <c r="E363" s="71" t="s">
        <v>136</v>
      </c>
      <c r="F363" s="71" t="s">
        <v>155</v>
      </c>
      <c r="G363" s="71" t="s">
        <v>156</v>
      </c>
      <c r="H363" s="71"/>
      <c r="I363" s="37">
        <f>I364</f>
        <v>4544.2</v>
      </c>
      <c r="J363" s="37">
        <f>J364</f>
        <v>4544.2</v>
      </c>
      <c r="K363" s="344">
        <f t="shared" si="33"/>
        <v>0</v>
      </c>
      <c r="L363" s="37">
        <f>L364</f>
        <v>1528.2</v>
      </c>
      <c r="M363" s="37">
        <f>M364</f>
        <v>1533.9</v>
      </c>
    </row>
    <row r="364" spans="1:13" s="345" customFormat="1" ht="47.25" customHeight="1">
      <c r="A364" s="136" t="s">
        <v>891</v>
      </c>
      <c r="B364" s="343">
        <v>110</v>
      </c>
      <c r="C364" s="107" t="s">
        <v>105</v>
      </c>
      <c r="D364" s="71" t="s">
        <v>193</v>
      </c>
      <c r="E364" s="71" t="s">
        <v>136</v>
      </c>
      <c r="F364" s="71" t="s">
        <v>166</v>
      </c>
      <c r="G364" s="71" t="s">
        <v>156</v>
      </c>
      <c r="H364" s="71"/>
      <c r="I364" s="37">
        <f>I365+I367+I369+I371+I375+I378+I374</f>
        <v>4544.2</v>
      </c>
      <c r="J364" s="37">
        <f>J365+J367+J369+J371+J375+J378+J374</f>
        <v>4544.2</v>
      </c>
      <c r="K364" s="344">
        <f t="shared" si="33"/>
        <v>0</v>
      </c>
      <c r="L364" s="37">
        <f>L365+L367+L369+L371+L375+L378+L374</f>
        <v>1528.2</v>
      </c>
      <c r="M364" s="37">
        <f>M365+M367+M369+M371+M375+M378+M374</f>
        <v>1533.9</v>
      </c>
    </row>
    <row r="365" spans="1:15" s="345" customFormat="1" ht="18.75" customHeight="1" hidden="1">
      <c r="A365" s="127" t="s">
        <v>244</v>
      </c>
      <c r="B365" s="347">
        <v>110</v>
      </c>
      <c r="C365" s="112" t="s">
        <v>105</v>
      </c>
      <c r="D365" s="111" t="s">
        <v>193</v>
      </c>
      <c r="E365" s="111" t="s">
        <v>136</v>
      </c>
      <c r="F365" s="111" t="s">
        <v>166</v>
      </c>
      <c r="G365" s="111" t="s">
        <v>209</v>
      </c>
      <c r="H365" s="111"/>
      <c r="I365" s="78">
        <f>I366</f>
        <v>0</v>
      </c>
      <c r="J365" s="78">
        <f>J366</f>
        <v>0</v>
      </c>
      <c r="K365" s="348">
        <f t="shared" si="33"/>
        <v>0</v>
      </c>
      <c r="L365" s="78">
        <f>L366</f>
        <v>0</v>
      </c>
      <c r="M365" s="78">
        <f>M366</f>
        <v>0</v>
      </c>
      <c r="N365" s="346"/>
      <c r="O365" s="346"/>
    </row>
    <row r="366" spans="1:15" s="345" customFormat="1" ht="30.75" customHeight="1" hidden="1">
      <c r="A366" s="127" t="s">
        <v>758</v>
      </c>
      <c r="B366" s="347">
        <v>110</v>
      </c>
      <c r="C366" s="112" t="s">
        <v>105</v>
      </c>
      <c r="D366" s="111" t="s">
        <v>193</v>
      </c>
      <c r="E366" s="111" t="s">
        <v>136</v>
      </c>
      <c r="F366" s="111" t="s">
        <v>166</v>
      </c>
      <c r="G366" s="111" t="s">
        <v>209</v>
      </c>
      <c r="H366" s="111" t="s">
        <v>757</v>
      </c>
      <c r="I366" s="78"/>
      <c r="J366" s="351"/>
      <c r="K366" s="348">
        <f t="shared" si="33"/>
        <v>0</v>
      </c>
      <c r="L366" s="78"/>
      <c r="M366" s="78"/>
      <c r="N366" s="346"/>
      <c r="O366" s="346"/>
    </row>
    <row r="367" spans="1:13" s="346" customFormat="1" ht="30.75" customHeight="1">
      <c r="A367" s="127" t="s">
        <v>212</v>
      </c>
      <c r="B367" s="347">
        <v>110</v>
      </c>
      <c r="C367" s="112" t="s">
        <v>105</v>
      </c>
      <c r="D367" s="111" t="s">
        <v>193</v>
      </c>
      <c r="E367" s="111" t="s">
        <v>136</v>
      </c>
      <c r="F367" s="111" t="s">
        <v>166</v>
      </c>
      <c r="G367" s="111" t="s">
        <v>213</v>
      </c>
      <c r="H367" s="111"/>
      <c r="I367" s="78">
        <f>I368</f>
        <v>70.3</v>
      </c>
      <c r="J367" s="78">
        <f>J368</f>
        <v>70.3</v>
      </c>
      <c r="K367" s="348">
        <f t="shared" si="33"/>
        <v>0</v>
      </c>
      <c r="L367" s="78">
        <f>L368</f>
        <v>120</v>
      </c>
      <c r="M367" s="78">
        <f>M368</f>
        <v>120</v>
      </c>
    </row>
    <row r="368" spans="1:13" s="346" customFormat="1" ht="33" customHeight="1">
      <c r="A368" s="127" t="s">
        <v>758</v>
      </c>
      <c r="B368" s="347">
        <v>110</v>
      </c>
      <c r="C368" s="112" t="s">
        <v>105</v>
      </c>
      <c r="D368" s="111" t="s">
        <v>193</v>
      </c>
      <c r="E368" s="111" t="s">
        <v>136</v>
      </c>
      <c r="F368" s="111" t="s">
        <v>166</v>
      </c>
      <c r="G368" s="111" t="s">
        <v>213</v>
      </c>
      <c r="H368" s="111" t="s">
        <v>757</v>
      </c>
      <c r="I368" s="131">
        <f>120-44.7-5</f>
        <v>70.3</v>
      </c>
      <c r="J368" s="131">
        <f>120-44.7-5</f>
        <v>70.3</v>
      </c>
      <c r="K368" s="348">
        <f t="shared" si="33"/>
        <v>0</v>
      </c>
      <c r="L368" s="78">
        <v>120</v>
      </c>
      <c r="M368" s="78">
        <v>120</v>
      </c>
    </row>
    <row r="369" spans="1:13" s="346" customFormat="1" ht="21.75" customHeight="1">
      <c r="A369" s="127" t="s">
        <v>777</v>
      </c>
      <c r="B369" s="347">
        <v>110</v>
      </c>
      <c r="C369" s="112" t="s">
        <v>105</v>
      </c>
      <c r="D369" s="111" t="s">
        <v>193</v>
      </c>
      <c r="E369" s="111" t="s">
        <v>136</v>
      </c>
      <c r="F369" s="111" t="s">
        <v>166</v>
      </c>
      <c r="G369" s="111" t="s">
        <v>774</v>
      </c>
      <c r="H369" s="111"/>
      <c r="I369" s="78">
        <f>I370</f>
        <v>220</v>
      </c>
      <c r="J369" s="78">
        <f>J370</f>
        <v>220</v>
      </c>
      <c r="K369" s="348">
        <f t="shared" si="33"/>
        <v>0</v>
      </c>
      <c r="L369" s="78">
        <f>L370</f>
        <v>225.7</v>
      </c>
      <c r="M369" s="78">
        <f>M370</f>
        <v>231.4</v>
      </c>
    </row>
    <row r="370" spans="1:13" s="346" customFormat="1" ht="30" customHeight="1">
      <c r="A370" s="127" t="s">
        <v>758</v>
      </c>
      <c r="B370" s="347">
        <v>110</v>
      </c>
      <c r="C370" s="112" t="s">
        <v>105</v>
      </c>
      <c r="D370" s="111" t="s">
        <v>193</v>
      </c>
      <c r="E370" s="111" t="s">
        <v>136</v>
      </c>
      <c r="F370" s="111" t="s">
        <v>166</v>
      </c>
      <c r="G370" s="111" t="s">
        <v>774</v>
      </c>
      <c r="H370" s="111" t="s">
        <v>757</v>
      </c>
      <c r="I370" s="78">
        <v>220</v>
      </c>
      <c r="J370" s="78">
        <v>220</v>
      </c>
      <c r="K370" s="348">
        <f t="shared" si="33"/>
        <v>0</v>
      </c>
      <c r="L370" s="78">
        <v>225.7</v>
      </c>
      <c r="M370" s="78">
        <v>231.4</v>
      </c>
    </row>
    <row r="371" spans="1:13" s="346" customFormat="1" ht="18.75" customHeight="1">
      <c r="A371" s="127" t="s">
        <v>775</v>
      </c>
      <c r="B371" s="347">
        <v>110</v>
      </c>
      <c r="C371" s="112" t="s">
        <v>105</v>
      </c>
      <c r="D371" s="111" t="s">
        <v>193</v>
      </c>
      <c r="E371" s="111" t="s">
        <v>136</v>
      </c>
      <c r="F371" s="111" t="s">
        <v>166</v>
      </c>
      <c r="G371" s="111" t="s">
        <v>776</v>
      </c>
      <c r="H371" s="111"/>
      <c r="I371" s="78">
        <f>I372</f>
        <v>80</v>
      </c>
      <c r="J371" s="78">
        <f>J372</f>
        <v>80</v>
      </c>
      <c r="K371" s="348">
        <f t="shared" si="33"/>
        <v>0</v>
      </c>
      <c r="L371" s="78">
        <f>L372</f>
        <v>30</v>
      </c>
      <c r="M371" s="78">
        <f>M372</f>
        <v>30</v>
      </c>
    </row>
    <row r="372" spans="1:13" s="346" customFormat="1" ht="33.75" customHeight="1">
      <c r="A372" s="127" t="s">
        <v>758</v>
      </c>
      <c r="B372" s="347">
        <v>110</v>
      </c>
      <c r="C372" s="112" t="s">
        <v>105</v>
      </c>
      <c r="D372" s="111" t="s">
        <v>193</v>
      </c>
      <c r="E372" s="111" t="s">
        <v>136</v>
      </c>
      <c r="F372" s="111" t="s">
        <v>166</v>
      </c>
      <c r="G372" s="111" t="s">
        <v>776</v>
      </c>
      <c r="H372" s="111" t="s">
        <v>757</v>
      </c>
      <c r="I372" s="78">
        <v>80</v>
      </c>
      <c r="J372" s="78">
        <v>80</v>
      </c>
      <c r="K372" s="348">
        <f aca="true" t="shared" si="41" ref="K372:K438">J372-I372</f>
        <v>0</v>
      </c>
      <c r="L372" s="78">
        <v>30</v>
      </c>
      <c r="M372" s="78">
        <v>30</v>
      </c>
    </row>
    <row r="373" spans="1:13" s="346" customFormat="1" ht="33.75" customHeight="1" hidden="1">
      <c r="A373" s="127" t="s">
        <v>1257</v>
      </c>
      <c r="B373" s="352" t="s">
        <v>24</v>
      </c>
      <c r="C373" s="112" t="s">
        <v>105</v>
      </c>
      <c r="D373" s="111" t="s">
        <v>193</v>
      </c>
      <c r="E373" s="111" t="s">
        <v>136</v>
      </c>
      <c r="F373" s="111" t="s">
        <v>166</v>
      </c>
      <c r="G373" s="111" t="s">
        <v>1258</v>
      </c>
      <c r="H373" s="111"/>
      <c r="I373" s="78">
        <f>I374</f>
        <v>0</v>
      </c>
      <c r="J373" s="78">
        <f>J374</f>
        <v>0</v>
      </c>
      <c r="K373" s="348">
        <f t="shared" si="41"/>
        <v>0</v>
      </c>
      <c r="L373" s="78">
        <f>L374</f>
        <v>0</v>
      </c>
      <c r="M373" s="78">
        <f>M374</f>
        <v>0</v>
      </c>
    </row>
    <row r="374" spans="1:13" s="346" customFormat="1" ht="33.75" customHeight="1" hidden="1">
      <c r="A374" s="127" t="s">
        <v>758</v>
      </c>
      <c r="B374" s="352" t="s">
        <v>24</v>
      </c>
      <c r="C374" s="112" t="s">
        <v>105</v>
      </c>
      <c r="D374" s="111" t="s">
        <v>193</v>
      </c>
      <c r="E374" s="111" t="s">
        <v>136</v>
      </c>
      <c r="F374" s="111" t="s">
        <v>166</v>
      </c>
      <c r="G374" s="111" t="s">
        <v>1258</v>
      </c>
      <c r="H374" s="111" t="s">
        <v>757</v>
      </c>
      <c r="I374" s="78"/>
      <c r="J374" s="78"/>
      <c r="K374" s="348">
        <f t="shared" si="41"/>
        <v>0</v>
      </c>
      <c r="L374" s="78"/>
      <c r="M374" s="78"/>
    </row>
    <row r="375" spans="1:15" s="346" customFormat="1" ht="30.75" customHeight="1" hidden="1">
      <c r="A375" s="127" t="s">
        <v>780</v>
      </c>
      <c r="B375" s="347">
        <v>110</v>
      </c>
      <c r="C375" s="112" t="s">
        <v>105</v>
      </c>
      <c r="D375" s="111" t="s">
        <v>193</v>
      </c>
      <c r="E375" s="111" t="s">
        <v>136</v>
      </c>
      <c r="F375" s="111" t="s">
        <v>166</v>
      </c>
      <c r="G375" s="111" t="s">
        <v>781</v>
      </c>
      <c r="H375" s="111"/>
      <c r="I375" s="78">
        <f>I376+I377</f>
        <v>0</v>
      </c>
      <c r="J375" s="78">
        <f>J376+J377</f>
        <v>0</v>
      </c>
      <c r="K375" s="348">
        <f t="shared" si="41"/>
        <v>0</v>
      </c>
      <c r="L375" s="78">
        <f>L376+L377</f>
        <v>0</v>
      </c>
      <c r="M375" s="78">
        <f>M376+M377</f>
        <v>0</v>
      </c>
      <c r="N375" s="194"/>
      <c r="O375" s="194"/>
    </row>
    <row r="376" spans="1:13" s="194" customFormat="1" ht="22.5" customHeight="1" hidden="1">
      <c r="A376" s="127" t="s">
        <v>758</v>
      </c>
      <c r="B376" s="347">
        <v>110</v>
      </c>
      <c r="C376" s="112" t="s">
        <v>105</v>
      </c>
      <c r="D376" s="111" t="s">
        <v>193</v>
      </c>
      <c r="E376" s="111" t="s">
        <v>136</v>
      </c>
      <c r="F376" s="111" t="s">
        <v>166</v>
      </c>
      <c r="G376" s="111" t="s">
        <v>781</v>
      </c>
      <c r="H376" s="111" t="s">
        <v>757</v>
      </c>
      <c r="I376" s="78"/>
      <c r="J376" s="78"/>
      <c r="K376" s="348">
        <f t="shared" si="41"/>
        <v>0</v>
      </c>
      <c r="L376" s="78"/>
      <c r="M376" s="78"/>
    </row>
    <row r="377" spans="1:13" s="194" customFormat="1" ht="28.5" customHeight="1" hidden="1">
      <c r="A377" s="127" t="s">
        <v>767</v>
      </c>
      <c r="B377" s="347">
        <v>110</v>
      </c>
      <c r="C377" s="112" t="s">
        <v>105</v>
      </c>
      <c r="D377" s="111" t="s">
        <v>193</v>
      </c>
      <c r="E377" s="111" t="s">
        <v>136</v>
      </c>
      <c r="F377" s="111" t="s">
        <v>166</v>
      </c>
      <c r="G377" s="111" t="s">
        <v>781</v>
      </c>
      <c r="H377" s="111" t="s">
        <v>766</v>
      </c>
      <c r="I377" s="78"/>
      <c r="J377" s="78"/>
      <c r="K377" s="348">
        <f t="shared" si="41"/>
        <v>0</v>
      </c>
      <c r="L377" s="78"/>
      <c r="M377" s="78"/>
    </row>
    <row r="378" spans="1:13" s="194" customFormat="1" ht="21" customHeight="1">
      <c r="A378" s="127" t="s">
        <v>780</v>
      </c>
      <c r="B378" s="347">
        <v>110</v>
      </c>
      <c r="C378" s="112" t="s">
        <v>105</v>
      </c>
      <c r="D378" s="111" t="s">
        <v>193</v>
      </c>
      <c r="E378" s="111" t="s">
        <v>136</v>
      </c>
      <c r="F378" s="111" t="s">
        <v>166</v>
      </c>
      <c r="G378" s="111" t="s">
        <v>851</v>
      </c>
      <c r="H378" s="111"/>
      <c r="I378" s="78">
        <f>I380+I379</f>
        <v>4173.9</v>
      </c>
      <c r="J378" s="78">
        <f>J380+J379</f>
        <v>4173.9</v>
      </c>
      <c r="K378" s="348">
        <f t="shared" si="41"/>
        <v>0</v>
      </c>
      <c r="L378" s="78">
        <f>L380+L379</f>
        <v>1152.5</v>
      </c>
      <c r="M378" s="78">
        <f>M380+M379</f>
        <v>1152.5</v>
      </c>
    </row>
    <row r="379" spans="1:13" s="194" customFormat="1" ht="28.5" customHeight="1">
      <c r="A379" s="127" t="s">
        <v>758</v>
      </c>
      <c r="B379" s="347">
        <v>110</v>
      </c>
      <c r="C379" s="112" t="s">
        <v>105</v>
      </c>
      <c r="D379" s="111" t="s">
        <v>193</v>
      </c>
      <c r="E379" s="111" t="s">
        <v>136</v>
      </c>
      <c r="F379" s="111" t="s">
        <v>166</v>
      </c>
      <c r="G379" s="111" t="s">
        <v>851</v>
      </c>
      <c r="H379" s="111" t="s">
        <v>757</v>
      </c>
      <c r="I379" s="78">
        <f>2947.4+44.7+280+5</f>
        <v>3277.1</v>
      </c>
      <c r="J379" s="78">
        <f>2947.4+44.7+280+5</f>
        <v>3277.1</v>
      </c>
      <c r="K379" s="348">
        <f t="shared" si="41"/>
        <v>0</v>
      </c>
      <c r="L379" s="78">
        <v>745.7</v>
      </c>
      <c r="M379" s="78">
        <v>745.7</v>
      </c>
    </row>
    <row r="380" spans="1:13" s="194" customFormat="1" ht="21" customHeight="1">
      <c r="A380" s="127" t="s">
        <v>767</v>
      </c>
      <c r="B380" s="347">
        <v>110</v>
      </c>
      <c r="C380" s="112" t="s">
        <v>105</v>
      </c>
      <c r="D380" s="111" t="s">
        <v>193</v>
      </c>
      <c r="E380" s="111" t="s">
        <v>136</v>
      </c>
      <c r="F380" s="111" t="s">
        <v>166</v>
      </c>
      <c r="G380" s="111" t="s">
        <v>851</v>
      </c>
      <c r="H380" s="111" t="s">
        <v>766</v>
      </c>
      <c r="I380" s="78">
        <f>122.2-81.5+666.1+190</f>
        <v>896.8000000000001</v>
      </c>
      <c r="J380" s="78">
        <f>122.2-81.5+666.1+190</f>
        <v>896.8000000000001</v>
      </c>
      <c r="K380" s="348">
        <f t="shared" si="41"/>
        <v>0</v>
      </c>
      <c r="L380" s="78">
        <f>122.2-81.5+366.1</f>
        <v>406.8</v>
      </c>
      <c r="M380" s="78">
        <f>122.2-81.5+366.1</f>
        <v>406.8</v>
      </c>
    </row>
    <row r="381" spans="1:15" s="363" customFormat="1" ht="31.5" customHeight="1">
      <c r="A381" s="109" t="s">
        <v>199</v>
      </c>
      <c r="B381" s="343">
        <v>110</v>
      </c>
      <c r="C381" s="107" t="s">
        <v>105</v>
      </c>
      <c r="D381" s="71" t="s">
        <v>193</v>
      </c>
      <c r="E381" s="71" t="s">
        <v>137</v>
      </c>
      <c r="F381" s="71" t="s">
        <v>155</v>
      </c>
      <c r="G381" s="71" t="s">
        <v>156</v>
      </c>
      <c r="H381" s="71"/>
      <c r="I381" s="37">
        <f>I382</f>
        <v>806.6</v>
      </c>
      <c r="J381" s="37">
        <f>J382</f>
        <v>1171.6</v>
      </c>
      <c r="K381" s="344">
        <f t="shared" si="41"/>
        <v>364.9999999999999</v>
      </c>
      <c r="L381" s="37">
        <f>L382</f>
        <v>825.2</v>
      </c>
      <c r="M381" s="37">
        <f>M382</f>
        <v>843.8</v>
      </c>
      <c r="N381" s="345"/>
      <c r="O381" s="345"/>
    </row>
    <row r="382" spans="1:13" s="355" customFormat="1" ht="33" customHeight="1">
      <c r="A382" s="136" t="s">
        <v>892</v>
      </c>
      <c r="B382" s="343">
        <v>110</v>
      </c>
      <c r="C382" s="107" t="s">
        <v>105</v>
      </c>
      <c r="D382" s="71" t="s">
        <v>193</v>
      </c>
      <c r="E382" s="71" t="s">
        <v>137</v>
      </c>
      <c r="F382" s="71" t="s">
        <v>153</v>
      </c>
      <c r="G382" s="71" t="s">
        <v>156</v>
      </c>
      <c r="H382" s="71"/>
      <c r="I382" s="37">
        <f>I383+I385+I387</f>
        <v>806.6</v>
      </c>
      <c r="J382" s="37">
        <f>J383+J385+J387</f>
        <v>1171.6</v>
      </c>
      <c r="K382" s="344">
        <f t="shared" si="41"/>
        <v>364.9999999999999</v>
      </c>
      <c r="L382" s="37">
        <f>L383+L385+L387</f>
        <v>825.2</v>
      </c>
      <c r="M382" s="37">
        <f>M383+M385+M387</f>
        <v>843.8</v>
      </c>
    </row>
    <row r="383" spans="1:13" ht="51.75" customHeight="1">
      <c r="A383" s="127" t="s">
        <v>953</v>
      </c>
      <c r="B383" s="347">
        <v>110</v>
      </c>
      <c r="C383" s="112" t="s">
        <v>105</v>
      </c>
      <c r="D383" s="111" t="s">
        <v>193</v>
      </c>
      <c r="E383" s="111" t="s">
        <v>137</v>
      </c>
      <c r="F383" s="111" t="s">
        <v>153</v>
      </c>
      <c r="G383" s="111" t="s">
        <v>204</v>
      </c>
      <c r="H383" s="111"/>
      <c r="I383" s="78">
        <f>I384</f>
        <v>39.6</v>
      </c>
      <c r="J383" s="78">
        <f>J384</f>
        <v>39.6</v>
      </c>
      <c r="K383" s="348">
        <f t="shared" si="41"/>
        <v>0</v>
      </c>
      <c r="L383" s="78">
        <f>L384</f>
        <v>40.5</v>
      </c>
      <c r="M383" s="78">
        <f>M384</f>
        <v>41.4</v>
      </c>
    </row>
    <row r="384" spans="1:15" ht="31.5" customHeight="1">
      <c r="A384" s="127" t="s">
        <v>758</v>
      </c>
      <c r="B384" s="347">
        <v>110</v>
      </c>
      <c r="C384" s="112" t="s">
        <v>105</v>
      </c>
      <c r="D384" s="111" t="s">
        <v>193</v>
      </c>
      <c r="E384" s="111" t="s">
        <v>137</v>
      </c>
      <c r="F384" s="111" t="s">
        <v>153</v>
      </c>
      <c r="G384" s="111" t="s">
        <v>204</v>
      </c>
      <c r="H384" s="111" t="s">
        <v>757</v>
      </c>
      <c r="I384" s="78">
        <v>39.6</v>
      </c>
      <c r="J384" s="78">
        <v>39.6</v>
      </c>
      <c r="K384" s="348">
        <f t="shared" si="41"/>
        <v>0</v>
      </c>
      <c r="L384" s="78">
        <v>40.5</v>
      </c>
      <c r="M384" s="78">
        <v>41.4</v>
      </c>
      <c r="N384" s="194"/>
      <c r="O384" s="194"/>
    </row>
    <row r="385" spans="1:15" ht="33.75" customHeight="1" hidden="1">
      <c r="A385" s="114" t="s">
        <v>205</v>
      </c>
      <c r="B385" s="347">
        <v>110</v>
      </c>
      <c r="C385" s="112" t="s">
        <v>105</v>
      </c>
      <c r="D385" s="111" t="s">
        <v>193</v>
      </c>
      <c r="E385" s="111" t="s">
        <v>137</v>
      </c>
      <c r="F385" s="111" t="s">
        <v>153</v>
      </c>
      <c r="G385" s="111" t="s">
        <v>206</v>
      </c>
      <c r="H385" s="111"/>
      <c r="I385" s="78">
        <f>I386</f>
        <v>0</v>
      </c>
      <c r="J385" s="78">
        <f>J386</f>
        <v>0</v>
      </c>
      <c r="K385" s="348">
        <f t="shared" si="41"/>
        <v>0</v>
      </c>
      <c r="L385" s="78">
        <f>L386</f>
        <v>0</v>
      </c>
      <c r="M385" s="78">
        <f>M386</f>
        <v>0</v>
      </c>
      <c r="N385" s="194"/>
      <c r="O385" s="194"/>
    </row>
    <row r="386" spans="1:15" ht="21.75" customHeight="1" hidden="1">
      <c r="A386" s="119" t="s">
        <v>767</v>
      </c>
      <c r="B386" s="347">
        <v>110</v>
      </c>
      <c r="C386" s="112" t="s">
        <v>105</v>
      </c>
      <c r="D386" s="111" t="s">
        <v>193</v>
      </c>
      <c r="E386" s="111" t="s">
        <v>137</v>
      </c>
      <c r="F386" s="111" t="s">
        <v>153</v>
      </c>
      <c r="G386" s="111" t="s">
        <v>206</v>
      </c>
      <c r="H386" s="111" t="s">
        <v>766</v>
      </c>
      <c r="I386" s="78"/>
      <c r="J386" s="78"/>
      <c r="K386" s="348">
        <f t="shared" si="41"/>
        <v>0</v>
      </c>
      <c r="L386" s="78"/>
      <c r="M386" s="78"/>
      <c r="N386" s="194"/>
      <c r="O386" s="194"/>
    </row>
    <row r="387" spans="1:13" s="345" customFormat="1" ht="31.5" customHeight="1">
      <c r="A387" s="127" t="s">
        <v>841</v>
      </c>
      <c r="B387" s="347">
        <v>110</v>
      </c>
      <c r="C387" s="112" t="s">
        <v>105</v>
      </c>
      <c r="D387" s="111" t="s">
        <v>193</v>
      </c>
      <c r="E387" s="111" t="s">
        <v>137</v>
      </c>
      <c r="F387" s="111" t="s">
        <v>153</v>
      </c>
      <c r="G387" s="111" t="s">
        <v>842</v>
      </c>
      <c r="H387" s="111"/>
      <c r="I387" s="78">
        <f>I388</f>
        <v>767</v>
      </c>
      <c r="J387" s="78">
        <f>J388</f>
        <v>1132</v>
      </c>
      <c r="K387" s="348">
        <f t="shared" si="41"/>
        <v>365</v>
      </c>
      <c r="L387" s="78">
        <f>L388</f>
        <v>784.7</v>
      </c>
      <c r="M387" s="78">
        <f>M388</f>
        <v>802.4</v>
      </c>
    </row>
    <row r="388" spans="1:13" s="345" customFormat="1" ht="21" customHeight="1">
      <c r="A388" s="127" t="s">
        <v>767</v>
      </c>
      <c r="B388" s="347">
        <v>110</v>
      </c>
      <c r="C388" s="112" t="s">
        <v>105</v>
      </c>
      <c r="D388" s="111" t="s">
        <v>193</v>
      </c>
      <c r="E388" s="111" t="s">
        <v>137</v>
      </c>
      <c r="F388" s="111" t="s">
        <v>153</v>
      </c>
      <c r="G388" s="111" t="s">
        <v>842</v>
      </c>
      <c r="H388" s="111" t="s">
        <v>766</v>
      </c>
      <c r="I388" s="78">
        <v>767</v>
      </c>
      <c r="J388" s="78">
        <f>767+365</f>
        <v>1132</v>
      </c>
      <c r="K388" s="348">
        <f t="shared" si="41"/>
        <v>365</v>
      </c>
      <c r="L388" s="78">
        <v>784.7</v>
      </c>
      <c r="M388" s="78">
        <v>802.4</v>
      </c>
    </row>
    <row r="389" spans="1:13" s="345" customFormat="1" ht="48.75" customHeight="1">
      <c r="A389" s="136" t="s">
        <v>207</v>
      </c>
      <c r="B389" s="343">
        <v>110</v>
      </c>
      <c r="C389" s="107" t="s">
        <v>105</v>
      </c>
      <c r="D389" s="71" t="s">
        <v>193</v>
      </c>
      <c r="E389" s="71" t="s">
        <v>139</v>
      </c>
      <c r="F389" s="71" t="s">
        <v>155</v>
      </c>
      <c r="G389" s="71" t="s">
        <v>156</v>
      </c>
      <c r="H389" s="71"/>
      <c r="I389" s="37">
        <f>I390</f>
        <v>5537.9</v>
      </c>
      <c r="J389" s="37">
        <f>J390</f>
        <v>5537.9</v>
      </c>
      <c r="K389" s="344">
        <f t="shared" si="41"/>
        <v>0</v>
      </c>
      <c r="L389" s="37">
        <f>L390</f>
        <v>5845.599999999999</v>
      </c>
      <c r="M389" s="37">
        <f>M390</f>
        <v>6139.599999999999</v>
      </c>
    </row>
    <row r="390" spans="1:13" s="345" customFormat="1" ht="44.25" customHeight="1">
      <c r="A390" s="136" t="s">
        <v>972</v>
      </c>
      <c r="B390" s="343">
        <v>110</v>
      </c>
      <c r="C390" s="107" t="s">
        <v>105</v>
      </c>
      <c r="D390" s="71" t="s">
        <v>193</v>
      </c>
      <c r="E390" s="71" t="s">
        <v>139</v>
      </c>
      <c r="F390" s="71" t="s">
        <v>153</v>
      </c>
      <c r="G390" s="71" t="s">
        <v>156</v>
      </c>
      <c r="H390" s="71"/>
      <c r="I390" s="37">
        <f>I391+I395</f>
        <v>5537.9</v>
      </c>
      <c r="J390" s="37">
        <f>J391+J395</f>
        <v>5537.9</v>
      </c>
      <c r="K390" s="344">
        <f t="shared" si="41"/>
        <v>0</v>
      </c>
      <c r="L390" s="37">
        <f>L391+L395</f>
        <v>5845.599999999999</v>
      </c>
      <c r="M390" s="37">
        <f>M391+M395</f>
        <v>6139.599999999999</v>
      </c>
    </row>
    <row r="391" spans="1:13" s="346" customFormat="1" ht="21" customHeight="1">
      <c r="A391" s="121" t="s">
        <v>196</v>
      </c>
      <c r="B391" s="347">
        <v>110</v>
      </c>
      <c r="C391" s="112" t="s">
        <v>105</v>
      </c>
      <c r="D391" s="111" t="s">
        <v>193</v>
      </c>
      <c r="E391" s="111" t="s">
        <v>139</v>
      </c>
      <c r="F391" s="111" t="s">
        <v>153</v>
      </c>
      <c r="G391" s="111" t="s">
        <v>197</v>
      </c>
      <c r="H391" s="111"/>
      <c r="I391" s="78">
        <f>I392+I393+I394</f>
        <v>3648.5</v>
      </c>
      <c r="J391" s="78">
        <f>J392+J393+J394</f>
        <v>3648.5</v>
      </c>
      <c r="K391" s="348">
        <f t="shared" si="41"/>
        <v>0</v>
      </c>
      <c r="L391" s="78">
        <f>L392+L393+L394</f>
        <v>4059.8999999999996</v>
      </c>
      <c r="M391" s="78">
        <f>M392+M393+M394</f>
        <v>4303.4</v>
      </c>
    </row>
    <row r="392" spans="1:15" s="346" customFormat="1" ht="63.75" customHeight="1">
      <c r="A392" s="127" t="s">
        <v>755</v>
      </c>
      <c r="B392" s="347">
        <v>110</v>
      </c>
      <c r="C392" s="112" t="s">
        <v>105</v>
      </c>
      <c r="D392" s="111" t="s">
        <v>193</v>
      </c>
      <c r="E392" s="111" t="s">
        <v>139</v>
      </c>
      <c r="F392" s="111" t="s">
        <v>153</v>
      </c>
      <c r="G392" s="111" t="s">
        <v>197</v>
      </c>
      <c r="H392" s="111" t="s">
        <v>756</v>
      </c>
      <c r="I392" s="78">
        <f>4018.9-1681.7+888.3-151.3</f>
        <v>3074.2</v>
      </c>
      <c r="J392" s="78">
        <f>4018.9-1681.7+888.3-151.3</f>
        <v>3074.2</v>
      </c>
      <c r="K392" s="348">
        <f t="shared" si="41"/>
        <v>0</v>
      </c>
      <c r="L392" s="78">
        <f>4288.2-1810.8+969.8</f>
        <v>3447.2</v>
      </c>
      <c r="M392" s="78">
        <f>4545.5-1919.5+1028</f>
        <v>3654</v>
      </c>
      <c r="N392" s="192"/>
      <c r="O392" s="192"/>
    </row>
    <row r="393" spans="1:13" s="346" customFormat="1" ht="32.25" customHeight="1">
      <c r="A393" s="127" t="s">
        <v>758</v>
      </c>
      <c r="B393" s="347">
        <v>110</v>
      </c>
      <c r="C393" s="112" t="s">
        <v>105</v>
      </c>
      <c r="D393" s="111" t="s">
        <v>193</v>
      </c>
      <c r="E393" s="111" t="s">
        <v>139</v>
      </c>
      <c r="F393" s="111" t="s">
        <v>153</v>
      </c>
      <c r="G393" s="111" t="s">
        <v>197</v>
      </c>
      <c r="H393" s="111" t="s">
        <v>757</v>
      </c>
      <c r="I393" s="78">
        <v>573.3</v>
      </c>
      <c r="J393" s="78">
        <v>573.3</v>
      </c>
      <c r="K393" s="348">
        <f t="shared" si="41"/>
        <v>0</v>
      </c>
      <c r="L393" s="78">
        <v>611.7</v>
      </c>
      <c r="M393" s="78">
        <v>648.4</v>
      </c>
    </row>
    <row r="394" spans="1:15" s="192" customFormat="1" ht="21" customHeight="1">
      <c r="A394" s="123" t="s">
        <v>759</v>
      </c>
      <c r="B394" s="347">
        <v>110</v>
      </c>
      <c r="C394" s="112" t="s">
        <v>105</v>
      </c>
      <c r="D394" s="111" t="s">
        <v>193</v>
      </c>
      <c r="E394" s="111" t="s">
        <v>139</v>
      </c>
      <c r="F394" s="111" t="s">
        <v>153</v>
      </c>
      <c r="G394" s="111" t="s">
        <v>197</v>
      </c>
      <c r="H394" s="111" t="s">
        <v>760</v>
      </c>
      <c r="I394" s="78">
        <v>1</v>
      </c>
      <c r="J394" s="78">
        <v>1</v>
      </c>
      <c r="K394" s="348">
        <f t="shared" si="41"/>
        <v>0</v>
      </c>
      <c r="L394" s="78">
        <v>1</v>
      </c>
      <c r="M394" s="78">
        <v>1</v>
      </c>
      <c r="N394" s="345"/>
      <c r="O394" s="345"/>
    </row>
    <row r="395" spans="1:15" s="345" customFormat="1" ht="36" customHeight="1">
      <c r="A395" s="123" t="s">
        <v>198</v>
      </c>
      <c r="B395" s="347">
        <v>110</v>
      </c>
      <c r="C395" s="112" t="s">
        <v>105</v>
      </c>
      <c r="D395" s="111" t="s">
        <v>193</v>
      </c>
      <c r="E395" s="111" t="s">
        <v>139</v>
      </c>
      <c r="F395" s="111" t="s">
        <v>153</v>
      </c>
      <c r="G395" s="111" t="s">
        <v>873</v>
      </c>
      <c r="H395" s="111"/>
      <c r="I395" s="78">
        <f>I396</f>
        <v>1889.4</v>
      </c>
      <c r="J395" s="78">
        <f>J396</f>
        <v>1889.4</v>
      </c>
      <c r="K395" s="348">
        <f t="shared" si="41"/>
        <v>0</v>
      </c>
      <c r="L395" s="78">
        <f>L396</f>
        <v>1785.7</v>
      </c>
      <c r="M395" s="78">
        <f>M396</f>
        <v>1836.2</v>
      </c>
      <c r="N395" s="327"/>
      <c r="O395" s="327"/>
    </row>
    <row r="396" spans="1:13" ht="64.5" customHeight="1">
      <c r="A396" s="127" t="s">
        <v>755</v>
      </c>
      <c r="B396" s="347">
        <v>110</v>
      </c>
      <c r="C396" s="112" t="s">
        <v>105</v>
      </c>
      <c r="D396" s="111" t="s">
        <v>193</v>
      </c>
      <c r="E396" s="111" t="s">
        <v>139</v>
      </c>
      <c r="F396" s="111" t="s">
        <v>153</v>
      </c>
      <c r="G396" s="111" t="s">
        <v>873</v>
      </c>
      <c r="H396" s="111" t="s">
        <v>756</v>
      </c>
      <c r="I396" s="78">
        <f>1681.7-888.3+944.7+151.3</f>
        <v>1889.4</v>
      </c>
      <c r="J396" s="78">
        <f>1681.7-888.3+944.7+151.3</f>
        <v>1889.4</v>
      </c>
      <c r="K396" s="348">
        <f t="shared" si="41"/>
        <v>0</v>
      </c>
      <c r="L396" s="78">
        <f>1810.8-969.8+944.7</f>
        <v>1785.7</v>
      </c>
      <c r="M396" s="78">
        <f>1919.5-1028+944.7</f>
        <v>1836.2</v>
      </c>
    </row>
    <row r="397" spans="1:13" s="355" customFormat="1" ht="14.25" customHeight="1">
      <c r="A397" s="136" t="s">
        <v>106</v>
      </c>
      <c r="B397" s="343">
        <v>110</v>
      </c>
      <c r="C397" s="107" t="s">
        <v>107</v>
      </c>
      <c r="D397" s="71"/>
      <c r="E397" s="71"/>
      <c r="F397" s="71"/>
      <c r="G397" s="71"/>
      <c r="H397" s="71"/>
      <c r="I397" s="37">
        <f>I398+I404+I449</f>
        <v>125391.69999999998</v>
      </c>
      <c r="J397" s="37">
        <f>J398+J404+J449</f>
        <v>125391.69999999998</v>
      </c>
      <c r="K397" s="348">
        <f t="shared" si="41"/>
        <v>0</v>
      </c>
      <c r="L397" s="37">
        <f>L398+L404+L449</f>
        <v>112542.7</v>
      </c>
      <c r="M397" s="37">
        <f>M398+M404+M449</f>
        <v>111546.3</v>
      </c>
    </row>
    <row r="398" spans="1:13" s="355" customFormat="1" ht="18.75" customHeight="1">
      <c r="A398" s="136" t="s">
        <v>108</v>
      </c>
      <c r="B398" s="343">
        <v>110</v>
      </c>
      <c r="C398" s="107" t="s">
        <v>109</v>
      </c>
      <c r="D398" s="71"/>
      <c r="E398" s="71"/>
      <c r="F398" s="71"/>
      <c r="G398" s="71"/>
      <c r="H398" s="71"/>
      <c r="I398" s="37">
        <f aca="true" t="shared" si="42" ref="I398:M402">I399</f>
        <v>18087.4</v>
      </c>
      <c r="J398" s="37">
        <f t="shared" si="42"/>
        <v>18087.4</v>
      </c>
      <c r="K398" s="344">
        <f t="shared" si="41"/>
        <v>0</v>
      </c>
      <c r="L398" s="37">
        <f t="shared" si="42"/>
        <v>18087.4</v>
      </c>
      <c r="M398" s="37">
        <f t="shared" si="42"/>
        <v>18087.4</v>
      </c>
    </row>
    <row r="399" spans="1:13" s="355" customFormat="1" ht="19.5" customHeight="1">
      <c r="A399" s="122" t="s">
        <v>441</v>
      </c>
      <c r="B399" s="343">
        <v>110</v>
      </c>
      <c r="C399" s="107" t="s">
        <v>109</v>
      </c>
      <c r="D399" s="107" t="s">
        <v>442</v>
      </c>
      <c r="E399" s="105">
        <v>0</v>
      </c>
      <c r="F399" s="107" t="s">
        <v>155</v>
      </c>
      <c r="G399" s="107" t="s">
        <v>156</v>
      </c>
      <c r="H399" s="71"/>
      <c r="I399" s="37">
        <f t="shared" si="42"/>
        <v>18087.4</v>
      </c>
      <c r="J399" s="37">
        <f t="shared" si="42"/>
        <v>18087.4</v>
      </c>
      <c r="K399" s="344">
        <f t="shared" si="41"/>
        <v>0</v>
      </c>
      <c r="L399" s="37">
        <f t="shared" si="42"/>
        <v>18087.4</v>
      </c>
      <c r="M399" s="37">
        <f t="shared" si="42"/>
        <v>18087.4</v>
      </c>
    </row>
    <row r="400" spans="1:13" s="355" customFormat="1" ht="19.5" customHeight="1">
      <c r="A400" s="109" t="s">
        <v>410</v>
      </c>
      <c r="B400" s="343">
        <v>110</v>
      </c>
      <c r="C400" s="107" t="s">
        <v>109</v>
      </c>
      <c r="D400" s="71" t="s">
        <v>442</v>
      </c>
      <c r="E400" s="71" t="s">
        <v>338</v>
      </c>
      <c r="F400" s="71" t="s">
        <v>155</v>
      </c>
      <c r="G400" s="71" t="s">
        <v>156</v>
      </c>
      <c r="H400" s="71"/>
      <c r="I400" s="37">
        <f t="shared" si="42"/>
        <v>18087.4</v>
      </c>
      <c r="J400" s="37">
        <f t="shared" si="42"/>
        <v>18087.4</v>
      </c>
      <c r="K400" s="344">
        <f t="shared" si="41"/>
        <v>0</v>
      </c>
      <c r="L400" s="37">
        <f t="shared" si="42"/>
        <v>18087.4</v>
      </c>
      <c r="M400" s="37">
        <f t="shared" si="42"/>
        <v>18087.4</v>
      </c>
    </row>
    <row r="401" spans="1:13" s="355" customFormat="1" ht="19.5" customHeight="1">
      <c r="A401" s="109" t="s">
        <v>410</v>
      </c>
      <c r="B401" s="343">
        <v>110</v>
      </c>
      <c r="C401" s="107" t="s">
        <v>109</v>
      </c>
      <c r="D401" s="107" t="s">
        <v>443</v>
      </c>
      <c r="E401" s="105" t="s">
        <v>338</v>
      </c>
      <c r="F401" s="107" t="s">
        <v>153</v>
      </c>
      <c r="G401" s="107" t="s">
        <v>156</v>
      </c>
      <c r="H401" s="71"/>
      <c r="I401" s="37">
        <f t="shared" si="42"/>
        <v>18087.4</v>
      </c>
      <c r="J401" s="37">
        <f t="shared" si="42"/>
        <v>18087.4</v>
      </c>
      <c r="K401" s="344">
        <f t="shared" si="41"/>
        <v>0</v>
      </c>
      <c r="L401" s="37">
        <f t="shared" si="42"/>
        <v>18087.4</v>
      </c>
      <c r="M401" s="37">
        <f t="shared" si="42"/>
        <v>18087.4</v>
      </c>
    </row>
    <row r="402" spans="1:13" ht="19.5" customHeight="1">
      <c r="A402" s="114" t="s">
        <v>310</v>
      </c>
      <c r="B402" s="347">
        <v>110</v>
      </c>
      <c r="C402" s="112" t="s">
        <v>109</v>
      </c>
      <c r="D402" s="112" t="s">
        <v>443</v>
      </c>
      <c r="E402" s="129" t="s">
        <v>338</v>
      </c>
      <c r="F402" s="112" t="s">
        <v>153</v>
      </c>
      <c r="G402" s="111" t="s">
        <v>311</v>
      </c>
      <c r="H402" s="111"/>
      <c r="I402" s="78">
        <f t="shared" si="42"/>
        <v>18087.4</v>
      </c>
      <c r="J402" s="78">
        <f t="shared" si="42"/>
        <v>18087.4</v>
      </c>
      <c r="K402" s="348">
        <f t="shared" si="41"/>
        <v>0</v>
      </c>
      <c r="L402" s="78">
        <f t="shared" si="42"/>
        <v>18087.4</v>
      </c>
      <c r="M402" s="78">
        <f t="shared" si="42"/>
        <v>18087.4</v>
      </c>
    </row>
    <row r="403" spans="1:13" ht="18" customHeight="1">
      <c r="A403" s="114" t="s">
        <v>762</v>
      </c>
      <c r="B403" s="347">
        <v>110</v>
      </c>
      <c r="C403" s="112" t="s">
        <v>109</v>
      </c>
      <c r="D403" s="112" t="s">
        <v>443</v>
      </c>
      <c r="E403" s="129" t="s">
        <v>338</v>
      </c>
      <c r="F403" s="112" t="s">
        <v>153</v>
      </c>
      <c r="G403" s="111" t="s">
        <v>311</v>
      </c>
      <c r="H403" s="111" t="s">
        <v>761</v>
      </c>
      <c r="I403" s="78">
        <v>18087.4</v>
      </c>
      <c r="J403" s="78">
        <v>18087.4</v>
      </c>
      <c r="K403" s="348">
        <f t="shared" si="41"/>
        <v>0</v>
      </c>
      <c r="L403" s="78">
        <v>18087.4</v>
      </c>
      <c r="M403" s="78">
        <v>18087.4</v>
      </c>
    </row>
    <row r="404" spans="1:15" s="194" customFormat="1" ht="22.5" customHeight="1">
      <c r="A404" s="139" t="s">
        <v>112</v>
      </c>
      <c r="B404" s="343" t="s">
        <v>24</v>
      </c>
      <c r="C404" s="107" t="s">
        <v>113</v>
      </c>
      <c r="D404" s="71"/>
      <c r="E404" s="71"/>
      <c r="F404" s="71"/>
      <c r="G404" s="71"/>
      <c r="H404" s="71"/>
      <c r="I404" s="37">
        <f>I405+I422+I438</f>
        <v>14347.5</v>
      </c>
      <c r="J404" s="37">
        <f>J405+J422+J438</f>
        <v>14347.5</v>
      </c>
      <c r="K404" s="344">
        <f t="shared" si="41"/>
        <v>0</v>
      </c>
      <c r="L404" s="37">
        <f>L405+L422+L438</f>
        <v>9893.9</v>
      </c>
      <c r="M404" s="37">
        <f>M405+M422+M438</f>
        <v>8871.7</v>
      </c>
      <c r="N404" s="345"/>
      <c r="O404" s="345"/>
    </row>
    <row r="405" spans="1:15" s="194" customFormat="1" ht="48.75" customHeight="1">
      <c r="A405" s="139" t="s">
        <v>165</v>
      </c>
      <c r="B405" s="343">
        <v>110</v>
      </c>
      <c r="C405" s="107" t="s">
        <v>113</v>
      </c>
      <c r="D405" s="71" t="s">
        <v>166</v>
      </c>
      <c r="E405" s="71" t="s">
        <v>154</v>
      </c>
      <c r="F405" s="71" t="s">
        <v>155</v>
      </c>
      <c r="G405" s="71" t="s">
        <v>156</v>
      </c>
      <c r="H405" s="71"/>
      <c r="I405" s="37">
        <f>I406</f>
        <v>9180.5</v>
      </c>
      <c r="J405" s="37">
        <f>J406</f>
        <v>9180.5</v>
      </c>
      <c r="K405" s="344">
        <f t="shared" si="41"/>
        <v>0</v>
      </c>
      <c r="L405" s="37">
        <f>L406</f>
        <v>5120.2</v>
      </c>
      <c r="M405" s="37">
        <f>M406</f>
        <v>4098</v>
      </c>
      <c r="N405" s="345"/>
      <c r="O405" s="345"/>
    </row>
    <row r="406" spans="1:13" s="363" customFormat="1" ht="26.25" customHeight="1">
      <c r="A406" s="122" t="s">
        <v>890</v>
      </c>
      <c r="B406" s="343" t="s">
        <v>24</v>
      </c>
      <c r="C406" s="107" t="s">
        <v>113</v>
      </c>
      <c r="D406" s="71" t="s">
        <v>166</v>
      </c>
      <c r="E406" s="71" t="s">
        <v>154</v>
      </c>
      <c r="F406" s="71" t="s">
        <v>166</v>
      </c>
      <c r="G406" s="71" t="s">
        <v>156</v>
      </c>
      <c r="H406" s="71"/>
      <c r="I406" s="37">
        <f>I407+I409+I411+I414+I417+I420</f>
        <v>9180.5</v>
      </c>
      <c r="J406" s="37">
        <f>J407+J409+J411+J414+J417+J420</f>
        <v>9180.5</v>
      </c>
      <c r="K406" s="344">
        <f t="shared" si="41"/>
        <v>0</v>
      </c>
      <c r="L406" s="37">
        <f>L407+L409+L411+L414+L417+L420</f>
        <v>5120.2</v>
      </c>
      <c r="M406" s="37">
        <f>M407+M409+M411+M414+M417+M420</f>
        <v>4098</v>
      </c>
    </row>
    <row r="407" spans="1:13" s="192" customFormat="1" ht="80.25" customHeight="1">
      <c r="A407" s="124" t="s">
        <v>168</v>
      </c>
      <c r="B407" s="347">
        <v>110</v>
      </c>
      <c r="C407" s="112" t="s">
        <v>113</v>
      </c>
      <c r="D407" s="111" t="s">
        <v>166</v>
      </c>
      <c r="E407" s="111" t="s">
        <v>154</v>
      </c>
      <c r="F407" s="111" t="s">
        <v>166</v>
      </c>
      <c r="G407" s="111" t="s">
        <v>167</v>
      </c>
      <c r="H407" s="111"/>
      <c r="I407" s="78">
        <f>I408</f>
        <v>7010.6</v>
      </c>
      <c r="J407" s="78">
        <f>J408</f>
        <v>7010.6</v>
      </c>
      <c r="K407" s="348">
        <f t="shared" si="41"/>
        <v>0</v>
      </c>
      <c r="L407" s="78">
        <f>L408</f>
        <v>0</v>
      </c>
      <c r="M407" s="78">
        <f>M408</f>
        <v>0</v>
      </c>
    </row>
    <row r="408" spans="1:13" s="192" customFormat="1" ht="25.5" customHeight="1">
      <c r="A408" s="124" t="s">
        <v>762</v>
      </c>
      <c r="B408" s="347">
        <v>110</v>
      </c>
      <c r="C408" s="112" t="s">
        <v>113</v>
      </c>
      <c r="D408" s="111" t="s">
        <v>166</v>
      </c>
      <c r="E408" s="111" t="s">
        <v>154</v>
      </c>
      <c r="F408" s="111" t="s">
        <v>166</v>
      </c>
      <c r="G408" s="111" t="s">
        <v>167</v>
      </c>
      <c r="H408" s="111" t="s">
        <v>761</v>
      </c>
      <c r="I408" s="78">
        <f>432+7304.3-725.7</f>
        <v>7010.6</v>
      </c>
      <c r="J408" s="78">
        <f>432+7304.3-725.7</f>
        <v>7010.6</v>
      </c>
      <c r="K408" s="348">
        <f t="shared" si="41"/>
        <v>0</v>
      </c>
      <c r="L408" s="78"/>
      <c r="M408" s="78"/>
    </row>
    <row r="409" spans="1:15" s="192" customFormat="1" ht="41.25" customHeight="1" hidden="1">
      <c r="A409" s="124" t="s">
        <v>168</v>
      </c>
      <c r="B409" s="347">
        <v>110</v>
      </c>
      <c r="C409" s="112" t="s">
        <v>113</v>
      </c>
      <c r="D409" s="111" t="s">
        <v>166</v>
      </c>
      <c r="E409" s="111" t="s">
        <v>154</v>
      </c>
      <c r="F409" s="111" t="s">
        <v>166</v>
      </c>
      <c r="G409" s="111" t="s">
        <v>169</v>
      </c>
      <c r="H409" s="111"/>
      <c r="I409" s="78">
        <f>I410</f>
        <v>0</v>
      </c>
      <c r="J409" s="78">
        <f>J410</f>
        <v>0</v>
      </c>
      <c r="K409" s="348">
        <f t="shared" si="41"/>
        <v>0</v>
      </c>
      <c r="L409" s="78">
        <f>L410</f>
        <v>0</v>
      </c>
      <c r="M409" s="78">
        <f>M410</f>
        <v>0</v>
      </c>
      <c r="N409" s="346"/>
      <c r="O409" s="346"/>
    </row>
    <row r="410" spans="1:15" s="192" customFormat="1" ht="28.5" customHeight="1" hidden="1">
      <c r="A410" s="124" t="s">
        <v>762</v>
      </c>
      <c r="B410" s="347">
        <v>110</v>
      </c>
      <c r="C410" s="112" t="s">
        <v>113</v>
      </c>
      <c r="D410" s="111" t="s">
        <v>166</v>
      </c>
      <c r="E410" s="111" t="s">
        <v>154</v>
      </c>
      <c r="F410" s="111" t="s">
        <v>166</v>
      </c>
      <c r="G410" s="111" t="s">
        <v>169</v>
      </c>
      <c r="H410" s="111" t="s">
        <v>761</v>
      </c>
      <c r="I410" s="37"/>
      <c r="J410" s="351"/>
      <c r="K410" s="348">
        <f t="shared" si="41"/>
        <v>0</v>
      </c>
      <c r="L410" s="78"/>
      <c r="M410" s="78"/>
      <c r="N410" s="346"/>
      <c r="O410" s="346"/>
    </row>
    <row r="411" spans="1:13" s="346" customFormat="1" ht="49.5" customHeight="1" hidden="1">
      <c r="A411" s="124" t="s">
        <v>952</v>
      </c>
      <c r="B411" s="347" t="s">
        <v>24</v>
      </c>
      <c r="C411" s="112" t="s">
        <v>113</v>
      </c>
      <c r="D411" s="111" t="s">
        <v>166</v>
      </c>
      <c r="E411" s="111" t="s">
        <v>154</v>
      </c>
      <c r="F411" s="111" t="s">
        <v>166</v>
      </c>
      <c r="G411" s="111" t="s">
        <v>170</v>
      </c>
      <c r="H411" s="111"/>
      <c r="I411" s="78">
        <f>I412+I413</f>
        <v>0</v>
      </c>
      <c r="J411" s="78">
        <f>J412+J413</f>
        <v>0</v>
      </c>
      <c r="K411" s="348">
        <f t="shared" si="41"/>
        <v>0</v>
      </c>
      <c r="L411" s="78">
        <f>L412+L413</f>
        <v>0</v>
      </c>
      <c r="M411" s="78">
        <f>M412+M413</f>
        <v>0</v>
      </c>
    </row>
    <row r="412" spans="1:15" s="346" customFormat="1" ht="17.25" customHeight="1" hidden="1">
      <c r="A412" s="124" t="s">
        <v>762</v>
      </c>
      <c r="B412" s="347" t="s">
        <v>24</v>
      </c>
      <c r="C412" s="112" t="s">
        <v>113</v>
      </c>
      <c r="D412" s="111" t="s">
        <v>166</v>
      </c>
      <c r="E412" s="111" t="s">
        <v>154</v>
      </c>
      <c r="F412" s="111" t="s">
        <v>166</v>
      </c>
      <c r="G412" s="111" t="s">
        <v>170</v>
      </c>
      <c r="H412" s="111" t="s">
        <v>761</v>
      </c>
      <c r="I412" s="131">
        <f>1294.2-1294.2</f>
        <v>0</v>
      </c>
      <c r="J412" s="131">
        <f>1294.2-1294.2</f>
        <v>0</v>
      </c>
      <c r="K412" s="348">
        <f t="shared" si="41"/>
        <v>0</v>
      </c>
      <c r="L412" s="78">
        <f>1411.9-1411.9</f>
        <v>0</v>
      </c>
      <c r="M412" s="78">
        <f>1047.5-1047.5</f>
        <v>0</v>
      </c>
      <c r="N412" s="345"/>
      <c r="O412" s="345"/>
    </row>
    <row r="413" spans="1:15" s="346" customFormat="1" ht="33.75" customHeight="1" hidden="1">
      <c r="A413" s="124" t="s">
        <v>769</v>
      </c>
      <c r="B413" s="347">
        <v>110</v>
      </c>
      <c r="C413" s="112" t="s">
        <v>113</v>
      </c>
      <c r="D413" s="111" t="s">
        <v>166</v>
      </c>
      <c r="E413" s="111" t="s">
        <v>154</v>
      </c>
      <c r="F413" s="111" t="s">
        <v>166</v>
      </c>
      <c r="G413" s="111" t="s">
        <v>170</v>
      </c>
      <c r="H413" s="111" t="s">
        <v>768</v>
      </c>
      <c r="I413" s="78"/>
      <c r="J413" s="132"/>
      <c r="K413" s="348">
        <f t="shared" si="41"/>
        <v>0</v>
      </c>
      <c r="L413" s="78"/>
      <c r="M413" s="78"/>
      <c r="N413" s="345"/>
      <c r="O413" s="345"/>
    </row>
    <row r="414" spans="1:15" s="346" customFormat="1" ht="65.25" customHeight="1">
      <c r="A414" s="124" t="s">
        <v>843</v>
      </c>
      <c r="B414" s="347" t="s">
        <v>24</v>
      </c>
      <c r="C414" s="112" t="s">
        <v>113</v>
      </c>
      <c r="D414" s="111" t="s">
        <v>166</v>
      </c>
      <c r="E414" s="111" t="s">
        <v>154</v>
      </c>
      <c r="F414" s="111" t="s">
        <v>166</v>
      </c>
      <c r="G414" s="111" t="s">
        <v>844</v>
      </c>
      <c r="H414" s="111"/>
      <c r="I414" s="78">
        <f>I415+I416</f>
        <v>0</v>
      </c>
      <c r="J414" s="78">
        <f>J415+J416</f>
        <v>0</v>
      </c>
      <c r="K414" s="348">
        <f t="shared" si="41"/>
        <v>0</v>
      </c>
      <c r="L414" s="78">
        <f>L415+L416</f>
        <v>3040.2</v>
      </c>
      <c r="M414" s="78">
        <f>M415+M416</f>
        <v>2018</v>
      </c>
      <c r="N414" s="345"/>
      <c r="O414" s="345"/>
    </row>
    <row r="415" spans="1:15" s="346" customFormat="1" ht="19.5" customHeight="1" hidden="1">
      <c r="A415" s="124" t="s">
        <v>762</v>
      </c>
      <c r="B415" s="347" t="s">
        <v>24</v>
      </c>
      <c r="C415" s="112" t="s">
        <v>113</v>
      </c>
      <c r="D415" s="111" t="s">
        <v>166</v>
      </c>
      <c r="E415" s="111" t="s">
        <v>154</v>
      </c>
      <c r="F415" s="111" t="s">
        <v>166</v>
      </c>
      <c r="G415" s="111" t="s">
        <v>844</v>
      </c>
      <c r="H415" s="111" t="s">
        <v>761</v>
      </c>
      <c r="I415" s="78"/>
      <c r="J415" s="78"/>
      <c r="K415" s="348">
        <f t="shared" si="41"/>
        <v>0</v>
      </c>
      <c r="L415" s="78"/>
      <c r="M415" s="78"/>
      <c r="N415" s="345"/>
      <c r="O415" s="345"/>
    </row>
    <row r="416" spans="1:15" s="346" customFormat="1" ht="33" customHeight="1">
      <c r="A416" s="124" t="s">
        <v>769</v>
      </c>
      <c r="B416" s="347" t="s">
        <v>24</v>
      </c>
      <c r="C416" s="112" t="s">
        <v>113</v>
      </c>
      <c r="D416" s="111" t="s">
        <v>166</v>
      </c>
      <c r="E416" s="111" t="s">
        <v>154</v>
      </c>
      <c r="F416" s="111" t="s">
        <v>166</v>
      </c>
      <c r="G416" s="111" t="s">
        <v>844</v>
      </c>
      <c r="H416" s="111" t="s">
        <v>768</v>
      </c>
      <c r="I416" s="78"/>
      <c r="J416" s="78"/>
      <c r="K416" s="348">
        <f t="shared" si="41"/>
        <v>0</v>
      </c>
      <c r="L416" s="78">
        <v>3040.2</v>
      </c>
      <c r="M416" s="78">
        <v>2018</v>
      </c>
      <c r="N416" s="345"/>
      <c r="O416" s="345"/>
    </row>
    <row r="417" spans="1:13" s="345" customFormat="1" ht="36" customHeight="1" hidden="1">
      <c r="A417" s="364" t="s">
        <v>969</v>
      </c>
      <c r="B417" s="347" t="s">
        <v>24</v>
      </c>
      <c r="C417" s="112" t="s">
        <v>113</v>
      </c>
      <c r="D417" s="111" t="s">
        <v>166</v>
      </c>
      <c r="E417" s="111" t="s">
        <v>154</v>
      </c>
      <c r="F417" s="111" t="s">
        <v>166</v>
      </c>
      <c r="G417" s="111" t="s">
        <v>171</v>
      </c>
      <c r="H417" s="111"/>
      <c r="I417" s="78">
        <f>I418+I419</f>
        <v>0</v>
      </c>
      <c r="J417" s="78">
        <f>J418+J419</f>
        <v>0</v>
      </c>
      <c r="K417" s="348">
        <f t="shared" si="41"/>
        <v>0</v>
      </c>
      <c r="L417" s="78">
        <f>L418+L419</f>
        <v>0</v>
      </c>
      <c r="M417" s="78">
        <f>M418+M419</f>
        <v>0</v>
      </c>
    </row>
    <row r="418" spans="1:13" s="345" customFormat="1" ht="20.25" customHeight="1" hidden="1">
      <c r="A418" s="124" t="s">
        <v>762</v>
      </c>
      <c r="B418" s="347" t="s">
        <v>24</v>
      </c>
      <c r="C418" s="112" t="s">
        <v>113</v>
      </c>
      <c r="D418" s="111" t="s">
        <v>166</v>
      </c>
      <c r="E418" s="111" t="s">
        <v>154</v>
      </c>
      <c r="F418" s="111" t="s">
        <v>166</v>
      </c>
      <c r="G418" s="111" t="s">
        <v>171</v>
      </c>
      <c r="H418" s="111" t="s">
        <v>761</v>
      </c>
      <c r="I418" s="78"/>
      <c r="J418" s="132"/>
      <c r="K418" s="348">
        <f t="shared" si="41"/>
        <v>0</v>
      </c>
      <c r="L418" s="78"/>
      <c r="M418" s="78"/>
    </row>
    <row r="419" spans="1:15" s="345" customFormat="1" ht="33.75" customHeight="1" hidden="1">
      <c r="A419" s="124" t="s">
        <v>769</v>
      </c>
      <c r="B419" s="347">
        <v>110</v>
      </c>
      <c r="C419" s="112" t="s">
        <v>113</v>
      </c>
      <c r="D419" s="111" t="s">
        <v>166</v>
      </c>
      <c r="E419" s="111" t="s">
        <v>154</v>
      </c>
      <c r="F419" s="111" t="s">
        <v>166</v>
      </c>
      <c r="G419" s="111" t="s">
        <v>171</v>
      </c>
      <c r="H419" s="111" t="s">
        <v>768</v>
      </c>
      <c r="I419" s="78"/>
      <c r="J419" s="331"/>
      <c r="K419" s="348">
        <f t="shared" si="41"/>
        <v>0</v>
      </c>
      <c r="L419" s="78"/>
      <c r="M419" s="78"/>
      <c r="N419" s="327"/>
      <c r="O419" s="327"/>
    </row>
    <row r="420" spans="1:13" ht="36.75" customHeight="1">
      <c r="A420" s="123" t="s">
        <v>175</v>
      </c>
      <c r="B420" s="347">
        <v>110</v>
      </c>
      <c r="C420" s="112" t="s">
        <v>113</v>
      </c>
      <c r="D420" s="111" t="s">
        <v>166</v>
      </c>
      <c r="E420" s="111" t="s">
        <v>154</v>
      </c>
      <c r="F420" s="111" t="s">
        <v>166</v>
      </c>
      <c r="G420" s="111" t="s">
        <v>176</v>
      </c>
      <c r="H420" s="111"/>
      <c r="I420" s="78">
        <f>I421</f>
        <v>2169.9</v>
      </c>
      <c r="J420" s="78">
        <f>J421</f>
        <v>2169.9</v>
      </c>
      <c r="K420" s="348">
        <f t="shared" si="41"/>
        <v>0</v>
      </c>
      <c r="L420" s="78">
        <f>L421</f>
        <v>2080</v>
      </c>
      <c r="M420" s="78">
        <f>M421</f>
        <v>2080</v>
      </c>
    </row>
    <row r="421" spans="1:13" ht="23.25" customHeight="1">
      <c r="A421" s="123" t="s">
        <v>762</v>
      </c>
      <c r="B421" s="347">
        <v>110</v>
      </c>
      <c r="C421" s="112" t="s">
        <v>113</v>
      </c>
      <c r="D421" s="111" t="s">
        <v>166</v>
      </c>
      <c r="E421" s="111" t="s">
        <v>154</v>
      </c>
      <c r="F421" s="111" t="s">
        <v>166</v>
      </c>
      <c r="G421" s="111" t="s">
        <v>176</v>
      </c>
      <c r="H421" s="111" t="s">
        <v>761</v>
      </c>
      <c r="I421" s="78">
        <f>2080+504-414.1</f>
        <v>2169.9</v>
      </c>
      <c r="J421" s="78">
        <f>2080+504-414.1</f>
        <v>2169.9</v>
      </c>
      <c r="K421" s="348">
        <f t="shared" si="41"/>
        <v>0</v>
      </c>
      <c r="L421" s="78">
        <v>2080</v>
      </c>
      <c r="M421" s="78">
        <v>2080</v>
      </c>
    </row>
    <row r="422" spans="1:15" ht="33" customHeight="1">
      <c r="A422" s="122" t="s">
        <v>231</v>
      </c>
      <c r="B422" s="343">
        <v>110</v>
      </c>
      <c r="C422" s="107" t="s">
        <v>113</v>
      </c>
      <c r="D422" s="71" t="s">
        <v>232</v>
      </c>
      <c r="E422" s="71" t="s">
        <v>154</v>
      </c>
      <c r="F422" s="71" t="s">
        <v>155</v>
      </c>
      <c r="G422" s="71" t="s">
        <v>156</v>
      </c>
      <c r="H422" s="71"/>
      <c r="I422" s="37">
        <f aca="true" t="shared" si="43" ref="I422:M423">I423</f>
        <v>5167</v>
      </c>
      <c r="J422" s="37">
        <f t="shared" si="43"/>
        <v>5167</v>
      </c>
      <c r="K422" s="344">
        <f t="shared" si="41"/>
        <v>0</v>
      </c>
      <c r="L422" s="37">
        <f t="shared" si="43"/>
        <v>4773.7</v>
      </c>
      <c r="M422" s="37">
        <f t="shared" si="43"/>
        <v>4773.7</v>
      </c>
      <c r="O422" s="365"/>
    </row>
    <row r="423" spans="1:15" ht="35.25" customHeight="1">
      <c r="A423" s="136" t="s">
        <v>782</v>
      </c>
      <c r="B423" s="343">
        <v>110</v>
      </c>
      <c r="C423" s="107" t="s">
        <v>113</v>
      </c>
      <c r="D423" s="71" t="s">
        <v>232</v>
      </c>
      <c r="E423" s="71" t="s">
        <v>289</v>
      </c>
      <c r="F423" s="71" t="s">
        <v>155</v>
      </c>
      <c r="G423" s="71" t="s">
        <v>156</v>
      </c>
      <c r="H423" s="71"/>
      <c r="I423" s="37">
        <f t="shared" si="43"/>
        <v>5167</v>
      </c>
      <c r="J423" s="37">
        <f t="shared" si="43"/>
        <v>5167</v>
      </c>
      <c r="K423" s="344">
        <f t="shared" si="41"/>
        <v>0</v>
      </c>
      <c r="L423" s="37">
        <f t="shared" si="43"/>
        <v>4773.7</v>
      </c>
      <c r="M423" s="37">
        <f t="shared" si="43"/>
        <v>4773.7</v>
      </c>
      <c r="N423" s="346"/>
      <c r="O423" s="346"/>
    </row>
    <row r="424" spans="1:15" s="355" customFormat="1" ht="36" customHeight="1">
      <c r="A424" s="137" t="s">
        <v>783</v>
      </c>
      <c r="B424" s="343">
        <v>110</v>
      </c>
      <c r="C424" s="107" t="s">
        <v>113</v>
      </c>
      <c r="D424" s="71" t="s">
        <v>232</v>
      </c>
      <c r="E424" s="71" t="s">
        <v>289</v>
      </c>
      <c r="F424" s="71" t="s">
        <v>153</v>
      </c>
      <c r="G424" s="71" t="s">
        <v>156</v>
      </c>
      <c r="H424" s="71"/>
      <c r="I424" s="37">
        <f>I425+I427+I429+I432+I434+I436</f>
        <v>5167</v>
      </c>
      <c r="J424" s="37">
        <f>J425+J427+J429+J432+J434+J436</f>
        <v>5167</v>
      </c>
      <c r="K424" s="344">
        <f t="shared" si="41"/>
        <v>0</v>
      </c>
      <c r="L424" s="37">
        <f>L425+L427+L429+L432+L434+L436</f>
        <v>4773.7</v>
      </c>
      <c r="M424" s="37">
        <f>M425+M427+M429+M432+M434+M436</f>
        <v>4773.7</v>
      </c>
      <c r="N424" s="345"/>
      <c r="O424" s="345"/>
    </row>
    <row r="425" spans="1:15" s="346" customFormat="1" ht="36" customHeight="1">
      <c r="A425" s="123" t="s">
        <v>313</v>
      </c>
      <c r="B425" s="347">
        <v>110</v>
      </c>
      <c r="C425" s="112" t="s">
        <v>113</v>
      </c>
      <c r="D425" s="111" t="s">
        <v>232</v>
      </c>
      <c r="E425" s="111" t="s">
        <v>289</v>
      </c>
      <c r="F425" s="111" t="s">
        <v>153</v>
      </c>
      <c r="G425" s="111" t="s">
        <v>500</v>
      </c>
      <c r="H425" s="111"/>
      <c r="I425" s="78">
        <f>I426</f>
        <v>1689.9</v>
      </c>
      <c r="J425" s="78">
        <f>J426</f>
        <v>1689.9</v>
      </c>
      <c r="K425" s="348">
        <f t="shared" si="41"/>
        <v>0</v>
      </c>
      <c r="L425" s="78">
        <f>L426</f>
        <v>1689.9</v>
      </c>
      <c r="M425" s="78">
        <f>M426</f>
        <v>1689.9</v>
      </c>
      <c r="N425" s="327"/>
      <c r="O425" s="327"/>
    </row>
    <row r="426" spans="1:15" s="346" customFormat="1" ht="33" customHeight="1">
      <c r="A426" s="123" t="s">
        <v>758</v>
      </c>
      <c r="B426" s="347">
        <v>110</v>
      </c>
      <c r="C426" s="112" t="s">
        <v>113</v>
      </c>
      <c r="D426" s="111" t="s">
        <v>232</v>
      </c>
      <c r="E426" s="111" t="s">
        <v>289</v>
      </c>
      <c r="F426" s="111" t="s">
        <v>153</v>
      </c>
      <c r="G426" s="111" t="s">
        <v>500</v>
      </c>
      <c r="H426" s="111" t="s">
        <v>757</v>
      </c>
      <c r="I426" s="78">
        <v>1689.9</v>
      </c>
      <c r="J426" s="78">
        <v>1689.9</v>
      </c>
      <c r="K426" s="348">
        <f t="shared" si="41"/>
        <v>0</v>
      </c>
      <c r="L426" s="78">
        <v>1689.9</v>
      </c>
      <c r="M426" s="78">
        <v>1689.9</v>
      </c>
      <c r="N426" s="327"/>
      <c r="O426" s="327"/>
    </row>
    <row r="427" spans="1:13" ht="91.5" customHeight="1">
      <c r="A427" s="123" t="s">
        <v>328</v>
      </c>
      <c r="B427" s="347">
        <v>110</v>
      </c>
      <c r="C427" s="112" t="s">
        <v>113</v>
      </c>
      <c r="D427" s="111" t="s">
        <v>232</v>
      </c>
      <c r="E427" s="111" t="s">
        <v>289</v>
      </c>
      <c r="F427" s="111" t="s">
        <v>153</v>
      </c>
      <c r="G427" s="111" t="s">
        <v>329</v>
      </c>
      <c r="H427" s="111"/>
      <c r="I427" s="78">
        <f>I428</f>
        <v>1176</v>
      </c>
      <c r="J427" s="78">
        <f>J428</f>
        <v>1176</v>
      </c>
      <c r="K427" s="348">
        <f t="shared" si="41"/>
        <v>0</v>
      </c>
      <c r="L427" s="78">
        <f>L428</f>
        <v>1102.5</v>
      </c>
      <c r="M427" s="78">
        <f>M428</f>
        <v>1102.5</v>
      </c>
    </row>
    <row r="428" spans="1:15" ht="18" customHeight="1">
      <c r="A428" s="123" t="s">
        <v>762</v>
      </c>
      <c r="B428" s="347">
        <v>110</v>
      </c>
      <c r="C428" s="112" t="s">
        <v>113</v>
      </c>
      <c r="D428" s="111" t="s">
        <v>232</v>
      </c>
      <c r="E428" s="111" t="s">
        <v>289</v>
      </c>
      <c r="F428" s="111" t="s">
        <v>153</v>
      </c>
      <c r="G428" s="111" t="s">
        <v>329</v>
      </c>
      <c r="H428" s="111" t="s">
        <v>761</v>
      </c>
      <c r="I428" s="78">
        <f>1102.5+73.5</f>
        <v>1176</v>
      </c>
      <c r="J428" s="78">
        <f>1102.5+73.5</f>
        <v>1176</v>
      </c>
      <c r="K428" s="348">
        <f t="shared" si="41"/>
        <v>0</v>
      </c>
      <c r="L428" s="78">
        <v>1102.5</v>
      </c>
      <c r="M428" s="78">
        <v>1102.5</v>
      </c>
      <c r="N428" s="345"/>
      <c r="O428" s="345"/>
    </row>
    <row r="429" spans="1:15" ht="97.5" customHeight="1">
      <c r="A429" s="123" t="s">
        <v>501</v>
      </c>
      <c r="B429" s="347">
        <v>110</v>
      </c>
      <c r="C429" s="112" t="s">
        <v>113</v>
      </c>
      <c r="D429" s="111" t="s">
        <v>232</v>
      </c>
      <c r="E429" s="111" t="s">
        <v>289</v>
      </c>
      <c r="F429" s="111" t="s">
        <v>153</v>
      </c>
      <c r="G429" s="111" t="s">
        <v>330</v>
      </c>
      <c r="H429" s="111"/>
      <c r="I429" s="78">
        <f>I430+I431</f>
        <v>100</v>
      </c>
      <c r="J429" s="78">
        <f>J430+J431</f>
        <v>100</v>
      </c>
      <c r="K429" s="348">
        <f t="shared" si="41"/>
        <v>0</v>
      </c>
      <c r="L429" s="78">
        <f>L430+L431</f>
        <v>100</v>
      </c>
      <c r="M429" s="78">
        <f>M430+M431</f>
        <v>100</v>
      </c>
      <c r="N429" s="345"/>
      <c r="O429" s="345"/>
    </row>
    <row r="430" spans="1:13" s="345" customFormat="1" ht="33" customHeight="1">
      <c r="A430" s="123" t="s">
        <v>758</v>
      </c>
      <c r="B430" s="347">
        <v>110</v>
      </c>
      <c r="C430" s="112" t="s">
        <v>113</v>
      </c>
      <c r="D430" s="111" t="s">
        <v>232</v>
      </c>
      <c r="E430" s="111" t="s">
        <v>289</v>
      </c>
      <c r="F430" s="111" t="s">
        <v>153</v>
      </c>
      <c r="G430" s="111" t="s">
        <v>330</v>
      </c>
      <c r="H430" s="111" t="s">
        <v>757</v>
      </c>
      <c r="I430" s="131">
        <v>100</v>
      </c>
      <c r="J430" s="131">
        <v>100</v>
      </c>
      <c r="K430" s="348">
        <f t="shared" si="41"/>
        <v>0</v>
      </c>
      <c r="L430" s="78">
        <v>100</v>
      </c>
      <c r="M430" s="78">
        <v>100</v>
      </c>
    </row>
    <row r="431" spans="1:13" s="345" customFormat="1" ht="16.5" customHeight="1" hidden="1">
      <c r="A431" s="123" t="s">
        <v>762</v>
      </c>
      <c r="B431" s="347">
        <v>110</v>
      </c>
      <c r="C431" s="112" t="s">
        <v>113</v>
      </c>
      <c r="D431" s="111" t="s">
        <v>232</v>
      </c>
      <c r="E431" s="111" t="s">
        <v>289</v>
      </c>
      <c r="F431" s="111" t="s">
        <v>153</v>
      </c>
      <c r="G431" s="111" t="s">
        <v>330</v>
      </c>
      <c r="H431" s="111" t="s">
        <v>761</v>
      </c>
      <c r="I431" s="78"/>
      <c r="J431" s="78"/>
      <c r="K431" s="348">
        <f t="shared" si="41"/>
        <v>0</v>
      </c>
      <c r="L431" s="78"/>
      <c r="M431" s="78"/>
    </row>
    <row r="432" spans="1:13" s="345" customFormat="1" ht="65.25" customHeight="1" hidden="1">
      <c r="A432" s="123" t="s">
        <v>331</v>
      </c>
      <c r="B432" s="347">
        <v>110</v>
      </c>
      <c r="C432" s="112" t="s">
        <v>113</v>
      </c>
      <c r="D432" s="111" t="s">
        <v>232</v>
      </c>
      <c r="E432" s="111" t="s">
        <v>289</v>
      </c>
      <c r="F432" s="111" t="s">
        <v>153</v>
      </c>
      <c r="G432" s="111" t="s">
        <v>332</v>
      </c>
      <c r="H432" s="111"/>
      <c r="I432" s="78">
        <f>I433</f>
        <v>0</v>
      </c>
      <c r="J432" s="78">
        <f>J433</f>
        <v>0</v>
      </c>
      <c r="K432" s="348">
        <f t="shared" si="41"/>
        <v>0</v>
      </c>
      <c r="L432" s="78">
        <f>L433</f>
        <v>0</v>
      </c>
      <c r="M432" s="78">
        <f>M433</f>
        <v>0</v>
      </c>
    </row>
    <row r="433" spans="1:13" s="345" customFormat="1" ht="21" customHeight="1" hidden="1">
      <c r="A433" s="123" t="s">
        <v>762</v>
      </c>
      <c r="B433" s="347">
        <v>110</v>
      </c>
      <c r="C433" s="112" t="s">
        <v>113</v>
      </c>
      <c r="D433" s="111" t="s">
        <v>232</v>
      </c>
      <c r="E433" s="111" t="s">
        <v>289</v>
      </c>
      <c r="F433" s="111" t="s">
        <v>153</v>
      </c>
      <c r="G433" s="111" t="s">
        <v>332</v>
      </c>
      <c r="H433" s="111" t="s">
        <v>761</v>
      </c>
      <c r="I433" s="78"/>
      <c r="J433" s="78"/>
      <c r="K433" s="348">
        <f t="shared" si="41"/>
        <v>0</v>
      </c>
      <c r="L433" s="78"/>
      <c r="M433" s="78"/>
    </row>
    <row r="434" spans="1:15" s="345" customFormat="1" ht="156" customHeight="1">
      <c r="A434" s="123" t="s">
        <v>507</v>
      </c>
      <c r="B434" s="347">
        <v>110</v>
      </c>
      <c r="C434" s="112" t="s">
        <v>113</v>
      </c>
      <c r="D434" s="111" t="s">
        <v>232</v>
      </c>
      <c r="E434" s="111" t="s">
        <v>289</v>
      </c>
      <c r="F434" s="111" t="s">
        <v>153</v>
      </c>
      <c r="G434" s="111" t="s">
        <v>333</v>
      </c>
      <c r="H434" s="111"/>
      <c r="I434" s="78">
        <f>I435</f>
        <v>2109.6</v>
      </c>
      <c r="J434" s="78">
        <f>J435</f>
        <v>2109.6</v>
      </c>
      <c r="K434" s="348">
        <f t="shared" si="41"/>
        <v>0</v>
      </c>
      <c r="L434" s="78">
        <f>L435</f>
        <v>1789.8</v>
      </c>
      <c r="M434" s="78">
        <f>M435</f>
        <v>1789.8</v>
      </c>
      <c r="N434" s="346"/>
      <c r="O434" s="346"/>
    </row>
    <row r="435" spans="1:15" s="345" customFormat="1" ht="18.75" customHeight="1">
      <c r="A435" s="123" t="s">
        <v>762</v>
      </c>
      <c r="B435" s="347">
        <v>110</v>
      </c>
      <c r="C435" s="112" t="s">
        <v>113</v>
      </c>
      <c r="D435" s="111" t="s">
        <v>232</v>
      </c>
      <c r="E435" s="111" t="s">
        <v>289</v>
      </c>
      <c r="F435" s="111" t="s">
        <v>153</v>
      </c>
      <c r="G435" s="111" t="s">
        <v>333</v>
      </c>
      <c r="H435" s="111" t="s">
        <v>761</v>
      </c>
      <c r="I435" s="78">
        <f>1789.8+319.8</f>
        <v>2109.6</v>
      </c>
      <c r="J435" s="78">
        <f>1789.8+319.8</f>
        <v>2109.6</v>
      </c>
      <c r="K435" s="348">
        <f t="shared" si="41"/>
        <v>0</v>
      </c>
      <c r="L435" s="78">
        <v>1789.8</v>
      </c>
      <c r="M435" s="78">
        <v>1789.8</v>
      </c>
      <c r="N435" s="346"/>
      <c r="O435" s="346"/>
    </row>
    <row r="436" spans="1:13" s="346" customFormat="1" ht="47.25" customHeight="1">
      <c r="A436" s="123" t="s">
        <v>334</v>
      </c>
      <c r="B436" s="347">
        <v>110</v>
      </c>
      <c r="C436" s="112" t="s">
        <v>113</v>
      </c>
      <c r="D436" s="111" t="s">
        <v>232</v>
      </c>
      <c r="E436" s="111" t="s">
        <v>289</v>
      </c>
      <c r="F436" s="111" t="s">
        <v>153</v>
      </c>
      <c r="G436" s="111" t="s">
        <v>335</v>
      </c>
      <c r="H436" s="111"/>
      <c r="I436" s="78">
        <f>I437</f>
        <v>91.5</v>
      </c>
      <c r="J436" s="78">
        <f>J437</f>
        <v>91.5</v>
      </c>
      <c r="K436" s="348">
        <f t="shared" si="41"/>
        <v>0</v>
      </c>
      <c r="L436" s="78">
        <f>L437</f>
        <v>91.5</v>
      </c>
      <c r="M436" s="78">
        <f>M437</f>
        <v>91.5</v>
      </c>
    </row>
    <row r="437" spans="1:13" s="346" customFormat="1" ht="34.5" customHeight="1">
      <c r="A437" s="123" t="s">
        <v>758</v>
      </c>
      <c r="B437" s="347">
        <v>110</v>
      </c>
      <c r="C437" s="112" t="s">
        <v>113</v>
      </c>
      <c r="D437" s="111" t="s">
        <v>232</v>
      </c>
      <c r="E437" s="111" t="s">
        <v>289</v>
      </c>
      <c r="F437" s="111" t="s">
        <v>153</v>
      </c>
      <c r="G437" s="111" t="s">
        <v>335</v>
      </c>
      <c r="H437" s="111" t="s">
        <v>757</v>
      </c>
      <c r="I437" s="78">
        <v>91.5</v>
      </c>
      <c r="J437" s="78">
        <v>91.5</v>
      </c>
      <c r="K437" s="348">
        <f t="shared" si="41"/>
        <v>0</v>
      </c>
      <c r="L437" s="78">
        <v>91.5</v>
      </c>
      <c r="M437" s="78">
        <v>91.5</v>
      </c>
    </row>
    <row r="438" spans="1:13" s="346" customFormat="1" ht="19.5" customHeight="1" hidden="1">
      <c r="A438" s="139" t="s">
        <v>441</v>
      </c>
      <c r="B438" s="343" t="s">
        <v>24</v>
      </c>
      <c r="C438" s="107" t="s">
        <v>113</v>
      </c>
      <c r="D438" s="71" t="s">
        <v>442</v>
      </c>
      <c r="E438" s="71" t="s">
        <v>154</v>
      </c>
      <c r="F438" s="71" t="s">
        <v>155</v>
      </c>
      <c r="G438" s="71" t="s">
        <v>156</v>
      </c>
      <c r="H438" s="71"/>
      <c r="I438" s="37">
        <f aca="true" t="shared" si="44" ref="I438:M439">I439</f>
        <v>0</v>
      </c>
      <c r="J438" s="37">
        <f t="shared" si="44"/>
        <v>0</v>
      </c>
      <c r="K438" s="344">
        <f t="shared" si="41"/>
        <v>0</v>
      </c>
      <c r="L438" s="37">
        <f t="shared" si="44"/>
        <v>0</v>
      </c>
      <c r="M438" s="37">
        <f t="shared" si="44"/>
        <v>0</v>
      </c>
    </row>
    <row r="439" spans="1:13" s="346" customFormat="1" ht="18.75" customHeight="1" hidden="1">
      <c r="A439" s="136" t="s">
        <v>410</v>
      </c>
      <c r="B439" s="343" t="s">
        <v>24</v>
      </c>
      <c r="C439" s="107" t="s">
        <v>113</v>
      </c>
      <c r="D439" s="71" t="s">
        <v>442</v>
      </c>
      <c r="E439" s="71" t="s">
        <v>338</v>
      </c>
      <c r="F439" s="71" t="s">
        <v>155</v>
      </c>
      <c r="G439" s="71" t="s">
        <v>156</v>
      </c>
      <c r="H439" s="71"/>
      <c r="I439" s="37">
        <f t="shared" si="44"/>
        <v>0</v>
      </c>
      <c r="J439" s="37">
        <f t="shared" si="44"/>
        <v>0</v>
      </c>
      <c r="K439" s="344">
        <f aca="true" t="shared" si="45" ref="K439:K506">J439-I439</f>
        <v>0</v>
      </c>
      <c r="L439" s="37">
        <f t="shared" si="44"/>
        <v>0</v>
      </c>
      <c r="M439" s="37">
        <f t="shared" si="44"/>
        <v>0</v>
      </c>
    </row>
    <row r="440" spans="1:13" s="345" customFormat="1" ht="18" customHeight="1" hidden="1">
      <c r="A440" s="139" t="s">
        <v>410</v>
      </c>
      <c r="B440" s="343" t="s">
        <v>24</v>
      </c>
      <c r="C440" s="107" t="s">
        <v>113</v>
      </c>
      <c r="D440" s="71" t="s">
        <v>442</v>
      </c>
      <c r="E440" s="71" t="s">
        <v>338</v>
      </c>
      <c r="F440" s="71" t="s">
        <v>153</v>
      </c>
      <c r="G440" s="71" t="s">
        <v>156</v>
      </c>
      <c r="H440" s="71"/>
      <c r="I440" s="37">
        <f>I441+I443+I445+I447</f>
        <v>0</v>
      </c>
      <c r="J440" s="37">
        <f>J441+J443+J445+J447</f>
        <v>0</v>
      </c>
      <c r="K440" s="344">
        <f t="shared" si="45"/>
        <v>0</v>
      </c>
      <c r="L440" s="37">
        <f>L441+L443+L445+L447</f>
        <v>0</v>
      </c>
      <c r="M440" s="37">
        <f>M441+M443+M445+M447</f>
        <v>0</v>
      </c>
    </row>
    <row r="441" spans="1:13" s="346" customFormat="1" ht="62.25" customHeight="1" hidden="1">
      <c r="A441" s="127" t="s">
        <v>314</v>
      </c>
      <c r="B441" s="347" t="s">
        <v>24</v>
      </c>
      <c r="C441" s="112" t="s">
        <v>113</v>
      </c>
      <c r="D441" s="111" t="s">
        <v>442</v>
      </c>
      <c r="E441" s="111" t="s">
        <v>338</v>
      </c>
      <c r="F441" s="111" t="s">
        <v>153</v>
      </c>
      <c r="G441" s="111" t="s">
        <v>315</v>
      </c>
      <c r="H441" s="111"/>
      <c r="I441" s="78">
        <f>I442</f>
        <v>0</v>
      </c>
      <c r="J441" s="78">
        <f>J442</f>
        <v>0</v>
      </c>
      <c r="K441" s="348">
        <f t="shared" si="45"/>
        <v>0</v>
      </c>
      <c r="L441" s="78">
        <f>L442</f>
        <v>0</v>
      </c>
      <c r="M441" s="78">
        <f>M442</f>
        <v>0</v>
      </c>
    </row>
    <row r="442" spans="1:13" s="346" customFormat="1" ht="20.25" customHeight="1" hidden="1">
      <c r="A442" s="127" t="s">
        <v>759</v>
      </c>
      <c r="B442" s="347" t="s">
        <v>24</v>
      </c>
      <c r="C442" s="112" t="s">
        <v>113</v>
      </c>
      <c r="D442" s="111" t="s">
        <v>442</v>
      </c>
      <c r="E442" s="111" t="s">
        <v>338</v>
      </c>
      <c r="F442" s="111" t="s">
        <v>153</v>
      </c>
      <c r="G442" s="111" t="s">
        <v>315</v>
      </c>
      <c r="H442" s="111" t="s">
        <v>760</v>
      </c>
      <c r="I442" s="78"/>
      <c r="J442" s="351"/>
      <c r="K442" s="348">
        <f t="shared" si="45"/>
        <v>0</v>
      </c>
      <c r="L442" s="78"/>
      <c r="M442" s="78"/>
    </row>
    <row r="443" spans="1:13" s="346" customFormat="1" ht="64.5" customHeight="1" hidden="1">
      <c r="A443" s="127" t="s">
        <v>316</v>
      </c>
      <c r="B443" s="347" t="s">
        <v>24</v>
      </c>
      <c r="C443" s="112" t="s">
        <v>113</v>
      </c>
      <c r="D443" s="111" t="s">
        <v>442</v>
      </c>
      <c r="E443" s="111" t="s">
        <v>338</v>
      </c>
      <c r="F443" s="111" t="s">
        <v>153</v>
      </c>
      <c r="G443" s="111" t="s">
        <v>317</v>
      </c>
      <c r="H443" s="111"/>
      <c r="I443" s="78">
        <f>I444</f>
        <v>0</v>
      </c>
      <c r="J443" s="78">
        <f>J444</f>
        <v>0</v>
      </c>
      <c r="K443" s="348">
        <f t="shared" si="45"/>
        <v>0</v>
      </c>
      <c r="L443" s="78">
        <f>L444</f>
        <v>0</v>
      </c>
      <c r="M443" s="78">
        <f>M444</f>
        <v>0</v>
      </c>
    </row>
    <row r="444" spans="1:15" s="346" customFormat="1" ht="16.5" customHeight="1" hidden="1">
      <c r="A444" s="127" t="s">
        <v>759</v>
      </c>
      <c r="B444" s="347" t="s">
        <v>24</v>
      </c>
      <c r="C444" s="112" t="s">
        <v>113</v>
      </c>
      <c r="D444" s="111" t="s">
        <v>442</v>
      </c>
      <c r="E444" s="111" t="s">
        <v>338</v>
      </c>
      <c r="F444" s="111" t="s">
        <v>153</v>
      </c>
      <c r="G444" s="111" t="s">
        <v>317</v>
      </c>
      <c r="H444" s="111" t="s">
        <v>760</v>
      </c>
      <c r="I444" s="78"/>
      <c r="J444" s="132"/>
      <c r="K444" s="348">
        <f t="shared" si="45"/>
        <v>0</v>
      </c>
      <c r="L444" s="78"/>
      <c r="M444" s="78"/>
      <c r="N444" s="345"/>
      <c r="O444" s="345"/>
    </row>
    <row r="445" spans="1:13" s="346" customFormat="1" ht="69" customHeight="1" hidden="1">
      <c r="A445" s="127" t="s">
        <v>318</v>
      </c>
      <c r="B445" s="347" t="s">
        <v>24</v>
      </c>
      <c r="C445" s="112" t="s">
        <v>113</v>
      </c>
      <c r="D445" s="111" t="s">
        <v>442</v>
      </c>
      <c r="E445" s="111" t="s">
        <v>338</v>
      </c>
      <c r="F445" s="111" t="s">
        <v>153</v>
      </c>
      <c r="G445" s="111" t="s">
        <v>319</v>
      </c>
      <c r="H445" s="111"/>
      <c r="I445" s="78">
        <f>I446</f>
        <v>0</v>
      </c>
      <c r="J445" s="78">
        <f>J446</f>
        <v>0</v>
      </c>
      <c r="K445" s="348">
        <f t="shared" si="45"/>
        <v>0</v>
      </c>
      <c r="L445" s="78">
        <f>L446</f>
        <v>0</v>
      </c>
      <c r="M445" s="78">
        <f>M446</f>
        <v>0</v>
      </c>
    </row>
    <row r="446" spans="1:13" s="345" customFormat="1" ht="18" customHeight="1" hidden="1">
      <c r="A446" s="127" t="s">
        <v>759</v>
      </c>
      <c r="B446" s="347" t="s">
        <v>24</v>
      </c>
      <c r="C446" s="112" t="s">
        <v>113</v>
      </c>
      <c r="D446" s="111" t="s">
        <v>442</v>
      </c>
      <c r="E446" s="111" t="s">
        <v>338</v>
      </c>
      <c r="F446" s="111" t="s">
        <v>153</v>
      </c>
      <c r="G446" s="111" t="s">
        <v>319</v>
      </c>
      <c r="H446" s="111" t="s">
        <v>760</v>
      </c>
      <c r="I446" s="78"/>
      <c r="J446" s="132"/>
      <c r="K446" s="348">
        <f t="shared" si="45"/>
        <v>0</v>
      </c>
      <c r="L446" s="78"/>
      <c r="M446" s="78"/>
    </row>
    <row r="447" spans="1:15" s="346" customFormat="1" ht="62.25" customHeight="1" hidden="1">
      <c r="A447" s="127" t="s">
        <v>320</v>
      </c>
      <c r="B447" s="347" t="s">
        <v>24</v>
      </c>
      <c r="C447" s="112" t="s">
        <v>113</v>
      </c>
      <c r="D447" s="111" t="s">
        <v>442</v>
      </c>
      <c r="E447" s="111" t="s">
        <v>338</v>
      </c>
      <c r="F447" s="111" t="s">
        <v>153</v>
      </c>
      <c r="G447" s="111" t="s">
        <v>321</v>
      </c>
      <c r="H447" s="111"/>
      <c r="I447" s="78">
        <f>I448</f>
        <v>0</v>
      </c>
      <c r="J447" s="78">
        <f>J448</f>
        <v>0</v>
      </c>
      <c r="K447" s="348">
        <f t="shared" si="45"/>
        <v>0</v>
      </c>
      <c r="L447" s="78">
        <f>L448</f>
        <v>0</v>
      </c>
      <c r="M447" s="78">
        <f>M448</f>
        <v>0</v>
      </c>
      <c r="N447" s="345"/>
      <c r="O447" s="345"/>
    </row>
    <row r="448" spans="1:13" s="345" customFormat="1" ht="18" customHeight="1" hidden="1">
      <c r="A448" s="127" t="s">
        <v>759</v>
      </c>
      <c r="B448" s="347" t="s">
        <v>24</v>
      </c>
      <c r="C448" s="112" t="s">
        <v>113</v>
      </c>
      <c r="D448" s="111" t="s">
        <v>442</v>
      </c>
      <c r="E448" s="111" t="s">
        <v>338</v>
      </c>
      <c r="F448" s="111" t="s">
        <v>153</v>
      </c>
      <c r="G448" s="111" t="s">
        <v>321</v>
      </c>
      <c r="H448" s="111" t="s">
        <v>760</v>
      </c>
      <c r="I448" s="78"/>
      <c r="J448" s="132"/>
      <c r="K448" s="348">
        <f t="shared" si="45"/>
        <v>0</v>
      </c>
      <c r="L448" s="78"/>
      <c r="M448" s="78"/>
    </row>
    <row r="449" spans="1:15" s="345" customFormat="1" ht="21" customHeight="1">
      <c r="A449" s="139" t="s">
        <v>114</v>
      </c>
      <c r="B449" s="343" t="s">
        <v>24</v>
      </c>
      <c r="C449" s="107" t="s">
        <v>115</v>
      </c>
      <c r="D449" s="71"/>
      <c r="E449" s="71"/>
      <c r="F449" s="71"/>
      <c r="G449" s="71"/>
      <c r="H449" s="71"/>
      <c r="I449" s="37">
        <f>I450+I456</f>
        <v>92956.79999999999</v>
      </c>
      <c r="J449" s="37">
        <f>J450+J456</f>
        <v>92956.79999999999</v>
      </c>
      <c r="K449" s="344">
        <f t="shared" si="45"/>
        <v>0</v>
      </c>
      <c r="L449" s="37">
        <f>L450+L456</f>
        <v>84561.4</v>
      </c>
      <c r="M449" s="37">
        <f>M450+M456</f>
        <v>84587.2</v>
      </c>
      <c r="N449" s="346"/>
      <c r="O449" s="346"/>
    </row>
    <row r="450" spans="1:13" s="345" customFormat="1" ht="42.75" customHeight="1">
      <c r="A450" s="139" t="s">
        <v>165</v>
      </c>
      <c r="B450" s="343" t="s">
        <v>24</v>
      </c>
      <c r="C450" s="107" t="s">
        <v>115</v>
      </c>
      <c r="D450" s="71" t="s">
        <v>166</v>
      </c>
      <c r="E450" s="71" t="s">
        <v>154</v>
      </c>
      <c r="F450" s="71" t="s">
        <v>155</v>
      </c>
      <c r="G450" s="71" t="s">
        <v>156</v>
      </c>
      <c r="H450" s="71"/>
      <c r="I450" s="37">
        <f aca="true" t="shared" si="46" ref="I450:M452">I451</f>
        <v>34782.2</v>
      </c>
      <c r="J450" s="37">
        <f t="shared" si="46"/>
        <v>34782.2</v>
      </c>
      <c r="K450" s="344">
        <f t="shared" si="45"/>
        <v>0</v>
      </c>
      <c r="L450" s="37">
        <f t="shared" si="46"/>
        <v>28716.899999999998</v>
      </c>
      <c r="M450" s="37">
        <f t="shared" si="46"/>
        <v>28716.899999999998</v>
      </c>
    </row>
    <row r="451" spans="1:13" s="345" customFormat="1" ht="22.5" customHeight="1">
      <c r="A451" s="136" t="s">
        <v>890</v>
      </c>
      <c r="B451" s="343" t="s">
        <v>24</v>
      </c>
      <c r="C451" s="107" t="s">
        <v>115</v>
      </c>
      <c r="D451" s="71" t="s">
        <v>166</v>
      </c>
      <c r="E451" s="71" t="s">
        <v>154</v>
      </c>
      <c r="F451" s="71" t="s">
        <v>166</v>
      </c>
      <c r="G451" s="71" t="s">
        <v>156</v>
      </c>
      <c r="H451" s="71"/>
      <c r="I451" s="37">
        <f>I452+I454</f>
        <v>34782.2</v>
      </c>
      <c r="J451" s="37">
        <f>J452+J454</f>
        <v>34782.2</v>
      </c>
      <c r="K451" s="344">
        <f t="shared" si="45"/>
        <v>0</v>
      </c>
      <c r="L451" s="37">
        <f>L452+L454</f>
        <v>28716.899999999998</v>
      </c>
      <c r="M451" s="37">
        <f>M452+M454</f>
        <v>28716.899999999998</v>
      </c>
    </row>
    <row r="452" spans="1:15" s="345" customFormat="1" ht="49.5" customHeight="1">
      <c r="A452" s="127" t="s">
        <v>177</v>
      </c>
      <c r="B452" s="347" t="s">
        <v>24</v>
      </c>
      <c r="C452" s="112" t="s">
        <v>115</v>
      </c>
      <c r="D452" s="111" t="s">
        <v>166</v>
      </c>
      <c r="E452" s="111" t="s">
        <v>154</v>
      </c>
      <c r="F452" s="111" t="s">
        <v>166</v>
      </c>
      <c r="G452" s="111" t="s">
        <v>178</v>
      </c>
      <c r="H452" s="111"/>
      <c r="I452" s="78">
        <f t="shared" si="46"/>
        <v>1496.5</v>
      </c>
      <c r="J452" s="78">
        <f t="shared" si="46"/>
        <v>1496.5</v>
      </c>
      <c r="K452" s="348">
        <f t="shared" si="45"/>
        <v>0</v>
      </c>
      <c r="L452" s="78">
        <f t="shared" si="46"/>
        <v>1556.2999999999993</v>
      </c>
      <c r="M452" s="78">
        <f t="shared" si="46"/>
        <v>1556.2999999999993</v>
      </c>
      <c r="N452" s="346"/>
      <c r="O452" s="346"/>
    </row>
    <row r="453" spans="1:15" s="345" customFormat="1" ht="31.5" customHeight="1">
      <c r="A453" s="121" t="s">
        <v>769</v>
      </c>
      <c r="B453" s="347" t="s">
        <v>24</v>
      </c>
      <c r="C453" s="112" t="s">
        <v>115</v>
      </c>
      <c r="D453" s="111" t="s">
        <v>166</v>
      </c>
      <c r="E453" s="111" t="s">
        <v>154</v>
      </c>
      <c r="F453" s="111" t="s">
        <v>166</v>
      </c>
      <c r="G453" s="111" t="s">
        <v>178</v>
      </c>
      <c r="H453" s="111" t="s">
        <v>768</v>
      </c>
      <c r="I453" s="78">
        <f>28882.9-28882.9+1496.5</f>
        <v>1496.5</v>
      </c>
      <c r="J453" s="78">
        <f>28882.9-28882.9+1496.5</f>
        <v>1496.5</v>
      </c>
      <c r="K453" s="348">
        <f t="shared" si="45"/>
        <v>0</v>
      </c>
      <c r="L453" s="78">
        <f>28920-27363.7</f>
        <v>1556.2999999999993</v>
      </c>
      <c r="M453" s="78">
        <f>27954.3-26398</f>
        <v>1556.2999999999993</v>
      </c>
      <c r="N453" s="327"/>
      <c r="O453" s="327"/>
    </row>
    <row r="454" spans="1:15" s="345" customFormat="1" ht="51.75" customHeight="1">
      <c r="A454" s="127" t="s">
        <v>177</v>
      </c>
      <c r="B454" s="347" t="s">
        <v>24</v>
      </c>
      <c r="C454" s="112" t="s">
        <v>115</v>
      </c>
      <c r="D454" s="111" t="s">
        <v>166</v>
      </c>
      <c r="E454" s="111" t="s">
        <v>154</v>
      </c>
      <c r="F454" s="111" t="s">
        <v>166</v>
      </c>
      <c r="G454" s="111" t="s">
        <v>853</v>
      </c>
      <c r="H454" s="111"/>
      <c r="I454" s="78">
        <f>I455</f>
        <v>33285.7</v>
      </c>
      <c r="J454" s="78">
        <f>J455</f>
        <v>33285.7</v>
      </c>
      <c r="K454" s="348">
        <f t="shared" si="45"/>
        <v>0</v>
      </c>
      <c r="L454" s="78">
        <f>L455</f>
        <v>27160.6</v>
      </c>
      <c r="M454" s="78">
        <f>M455</f>
        <v>27160.6</v>
      </c>
      <c r="N454" s="327"/>
      <c r="O454" s="327"/>
    </row>
    <row r="455" spans="1:15" s="345" customFormat="1" ht="33" customHeight="1">
      <c r="A455" s="121" t="s">
        <v>769</v>
      </c>
      <c r="B455" s="347" t="s">
        <v>24</v>
      </c>
      <c r="C455" s="112" t="s">
        <v>115</v>
      </c>
      <c r="D455" s="111" t="s">
        <v>166</v>
      </c>
      <c r="E455" s="111" t="s">
        <v>154</v>
      </c>
      <c r="F455" s="111" t="s">
        <v>166</v>
      </c>
      <c r="G455" s="111" t="s">
        <v>853</v>
      </c>
      <c r="H455" s="111" t="s">
        <v>768</v>
      </c>
      <c r="I455" s="78">
        <f>27191.1+6094.7-0.1</f>
        <v>33285.7</v>
      </c>
      <c r="J455" s="78">
        <f>27191.1+6094.7-0.1</f>
        <v>33285.7</v>
      </c>
      <c r="K455" s="348">
        <f t="shared" si="45"/>
        <v>0</v>
      </c>
      <c r="L455" s="78">
        <v>27160.6</v>
      </c>
      <c r="M455" s="78">
        <v>27160.6</v>
      </c>
      <c r="N455" s="327"/>
      <c r="O455" s="327"/>
    </row>
    <row r="456" spans="1:15" s="346" customFormat="1" ht="37.5" customHeight="1">
      <c r="A456" s="122" t="s">
        <v>231</v>
      </c>
      <c r="B456" s="343">
        <v>110</v>
      </c>
      <c r="C456" s="107" t="s">
        <v>115</v>
      </c>
      <c r="D456" s="71" t="s">
        <v>232</v>
      </c>
      <c r="E456" s="71" t="s">
        <v>154</v>
      </c>
      <c r="F456" s="71" t="s">
        <v>155</v>
      </c>
      <c r="G456" s="71" t="s">
        <v>156</v>
      </c>
      <c r="H456" s="71"/>
      <c r="I456" s="37">
        <f aca="true" t="shared" si="47" ref="I456:M457">I457</f>
        <v>58174.59999999999</v>
      </c>
      <c r="J456" s="37">
        <f t="shared" si="47"/>
        <v>58174.59999999999</v>
      </c>
      <c r="K456" s="344">
        <f t="shared" si="45"/>
        <v>0</v>
      </c>
      <c r="L456" s="37">
        <f t="shared" si="47"/>
        <v>55844.5</v>
      </c>
      <c r="M456" s="37">
        <f t="shared" si="47"/>
        <v>55870.299999999996</v>
      </c>
      <c r="N456" s="327"/>
      <c r="O456" s="327"/>
    </row>
    <row r="457" spans="1:15" ht="37.5" customHeight="1">
      <c r="A457" s="136" t="s">
        <v>805</v>
      </c>
      <c r="B457" s="343">
        <v>110</v>
      </c>
      <c r="C457" s="107" t="s">
        <v>115</v>
      </c>
      <c r="D457" s="71" t="s">
        <v>232</v>
      </c>
      <c r="E457" s="71" t="s">
        <v>289</v>
      </c>
      <c r="F457" s="71" t="s">
        <v>155</v>
      </c>
      <c r="G457" s="71" t="s">
        <v>156</v>
      </c>
      <c r="H457" s="71"/>
      <c r="I457" s="37">
        <f t="shared" si="47"/>
        <v>58174.59999999999</v>
      </c>
      <c r="J457" s="37">
        <f t="shared" si="47"/>
        <v>58174.59999999999</v>
      </c>
      <c r="K457" s="344">
        <f t="shared" si="45"/>
        <v>0</v>
      </c>
      <c r="L457" s="37">
        <f t="shared" si="47"/>
        <v>55844.5</v>
      </c>
      <c r="M457" s="37">
        <f t="shared" si="47"/>
        <v>55870.299999999996</v>
      </c>
      <c r="N457" s="355"/>
      <c r="O457" s="355"/>
    </row>
    <row r="458" spans="1:13" s="355" customFormat="1" ht="36" customHeight="1">
      <c r="A458" s="137" t="s">
        <v>806</v>
      </c>
      <c r="B458" s="343">
        <v>110</v>
      </c>
      <c r="C458" s="107" t="s">
        <v>115</v>
      </c>
      <c r="D458" s="71" t="s">
        <v>232</v>
      </c>
      <c r="E458" s="71" t="s">
        <v>289</v>
      </c>
      <c r="F458" s="71" t="s">
        <v>153</v>
      </c>
      <c r="G458" s="71" t="s">
        <v>156</v>
      </c>
      <c r="H458" s="71"/>
      <c r="I458" s="37">
        <f>I459+I461+I463</f>
        <v>58174.59999999999</v>
      </c>
      <c r="J458" s="37">
        <f>J459+J461+J463</f>
        <v>58174.59999999999</v>
      </c>
      <c r="K458" s="344">
        <f t="shared" si="45"/>
        <v>0</v>
      </c>
      <c r="L458" s="37">
        <f>L459+L461+L463</f>
        <v>55844.5</v>
      </c>
      <c r="M458" s="37">
        <f>M459+M461+M463</f>
        <v>55870.299999999996</v>
      </c>
    </row>
    <row r="459" spans="1:15" s="355" customFormat="1" ht="32.25" customHeight="1">
      <c r="A459" s="123" t="s">
        <v>324</v>
      </c>
      <c r="B459" s="347" t="s">
        <v>24</v>
      </c>
      <c r="C459" s="112" t="s">
        <v>115</v>
      </c>
      <c r="D459" s="111" t="s">
        <v>232</v>
      </c>
      <c r="E459" s="111" t="s">
        <v>289</v>
      </c>
      <c r="F459" s="111" t="s">
        <v>153</v>
      </c>
      <c r="G459" s="111" t="s">
        <v>325</v>
      </c>
      <c r="H459" s="111"/>
      <c r="I459" s="78">
        <f>I460</f>
        <v>832.8</v>
      </c>
      <c r="J459" s="78">
        <f>J460</f>
        <v>832.8</v>
      </c>
      <c r="K459" s="348">
        <f t="shared" si="45"/>
        <v>0</v>
      </c>
      <c r="L459" s="78">
        <f>L460</f>
        <v>864.8000000000001</v>
      </c>
      <c r="M459" s="78">
        <f>M460</f>
        <v>890.6</v>
      </c>
      <c r="N459" s="346"/>
      <c r="O459" s="346"/>
    </row>
    <row r="460" spans="1:15" ht="20.25" customHeight="1">
      <c r="A460" s="123" t="s">
        <v>762</v>
      </c>
      <c r="B460" s="347" t="s">
        <v>24</v>
      </c>
      <c r="C460" s="112" t="s">
        <v>115</v>
      </c>
      <c r="D460" s="111" t="s">
        <v>232</v>
      </c>
      <c r="E460" s="111" t="s">
        <v>289</v>
      </c>
      <c r="F460" s="111" t="s">
        <v>153</v>
      </c>
      <c r="G460" s="111" t="s">
        <v>325</v>
      </c>
      <c r="H460" s="111" t="s">
        <v>761</v>
      </c>
      <c r="I460" s="78">
        <f>864.3-31.5</f>
        <v>832.8</v>
      </c>
      <c r="J460" s="78">
        <f>864.3-31.5</f>
        <v>832.8</v>
      </c>
      <c r="K460" s="348">
        <f t="shared" si="45"/>
        <v>0</v>
      </c>
      <c r="L460" s="78">
        <f>816.7+48.1</f>
        <v>864.8000000000001</v>
      </c>
      <c r="M460" s="78">
        <v>890.6</v>
      </c>
      <c r="N460" s="345"/>
      <c r="O460" s="345"/>
    </row>
    <row r="461" spans="1:15" s="346" customFormat="1" ht="33" customHeight="1">
      <c r="A461" s="123" t="s">
        <v>312</v>
      </c>
      <c r="B461" s="347" t="s">
        <v>24</v>
      </c>
      <c r="C461" s="112" t="s">
        <v>115</v>
      </c>
      <c r="D461" s="111" t="s">
        <v>232</v>
      </c>
      <c r="E461" s="111" t="s">
        <v>289</v>
      </c>
      <c r="F461" s="111" t="s">
        <v>153</v>
      </c>
      <c r="G461" s="111" t="s">
        <v>502</v>
      </c>
      <c r="H461" s="111"/>
      <c r="I461" s="78">
        <f>I462</f>
        <v>18473.1</v>
      </c>
      <c r="J461" s="78">
        <f>J462</f>
        <v>18473.1</v>
      </c>
      <c r="K461" s="348">
        <f t="shared" si="45"/>
        <v>0</v>
      </c>
      <c r="L461" s="78">
        <f>L462</f>
        <v>17804.6</v>
      </c>
      <c r="M461" s="78">
        <f>M462</f>
        <v>17804.6</v>
      </c>
      <c r="N461" s="345"/>
      <c r="O461" s="345"/>
    </row>
    <row r="462" spans="1:13" s="345" customFormat="1" ht="21" customHeight="1">
      <c r="A462" s="123" t="s">
        <v>762</v>
      </c>
      <c r="B462" s="347" t="s">
        <v>24</v>
      </c>
      <c r="C462" s="112" t="s">
        <v>115</v>
      </c>
      <c r="D462" s="111" t="s">
        <v>232</v>
      </c>
      <c r="E462" s="111" t="s">
        <v>289</v>
      </c>
      <c r="F462" s="111" t="s">
        <v>153</v>
      </c>
      <c r="G462" s="111" t="s">
        <v>502</v>
      </c>
      <c r="H462" s="111" t="s">
        <v>761</v>
      </c>
      <c r="I462" s="78">
        <f>17804.6+668.5</f>
        <v>18473.1</v>
      </c>
      <c r="J462" s="78">
        <f>17804.6+668.5</f>
        <v>18473.1</v>
      </c>
      <c r="K462" s="348">
        <f t="shared" si="45"/>
        <v>0</v>
      </c>
      <c r="L462" s="78">
        <v>17804.6</v>
      </c>
      <c r="M462" s="78">
        <v>17804.6</v>
      </c>
    </row>
    <row r="463" spans="1:15" s="345" customFormat="1" ht="51.75" customHeight="1">
      <c r="A463" s="123" t="s">
        <v>326</v>
      </c>
      <c r="B463" s="347" t="s">
        <v>24</v>
      </c>
      <c r="C463" s="112" t="s">
        <v>115</v>
      </c>
      <c r="D463" s="111" t="s">
        <v>232</v>
      </c>
      <c r="E463" s="111" t="s">
        <v>289</v>
      </c>
      <c r="F463" s="111" t="s">
        <v>153</v>
      </c>
      <c r="G463" s="111" t="s">
        <v>327</v>
      </c>
      <c r="H463" s="111"/>
      <c r="I463" s="78">
        <f>I464</f>
        <v>38868.7</v>
      </c>
      <c r="J463" s="78">
        <f>J464</f>
        <v>38868.7</v>
      </c>
      <c r="K463" s="348">
        <f t="shared" si="45"/>
        <v>0</v>
      </c>
      <c r="L463" s="78">
        <f>L464</f>
        <v>37175.1</v>
      </c>
      <c r="M463" s="78">
        <f>M464</f>
        <v>37175.1</v>
      </c>
      <c r="N463" s="346"/>
      <c r="O463" s="346"/>
    </row>
    <row r="464" spans="1:15" s="345" customFormat="1" ht="20.25" customHeight="1">
      <c r="A464" s="123" t="s">
        <v>762</v>
      </c>
      <c r="B464" s="347" t="s">
        <v>24</v>
      </c>
      <c r="C464" s="112" t="s">
        <v>115</v>
      </c>
      <c r="D464" s="111" t="s">
        <v>232</v>
      </c>
      <c r="E464" s="111" t="s">
        <v>289</v>
      </c>
      <c r="F464" s="111" t="s">
        <v>153</v>
      </c>
      <c r="G464" s="111" t="s">
        <v>327</v>
      </c>
      <c r="H464" s="111" t="s">
        <v>761</v>
      </c>
      <c r="I464" s="78">
        <f>37175.1+1693.6</f>
        <v>38868.7</v>
      </c>
      <c r="J464" s="78">
        <f>37175.1+1693.6</f>
        <v>38868.7</v>
      </c>
      <c r="K464" s="348">
        <f t="shared" si="45"/>
        <v>0</v>
      </c>
      <c r="L464" s="78">
        <v>37175.1</v>
      </c>
      <c r="M464" s="78">
        <v>37175.1</v>
      </c>
      <c r="N464" s="346"/>
      <c r="O464" s="346"/>
    </row>
    <row r="465" spans="1:15" s="346" customFormat="1" ht="21" customHeight="1">
      <c r="A465" s="139" t="s">
        <v>118</v>
      </c>
      <c r="B465" s="343" t="s">
        <v>24</v>
      </c>
      <c r="C465" s="107" t="s">
        <v>119</v>
      </c>
      <c r="D465" s="71"/>
      <c r="E465" s="71"/>
      <c r="F465" s="71"/>
      <c r="G465" s="71"/>
      <c r="H465" s="71"/>
      <c r="I465" s="37">
        <f aca="true" t="shared" si="48" ref="I465:M467">I466</f>
        <v>4047.6</v>
      </c>
      <c r="J465" s="37">
        <f t="shared" si="48"/>
        <v>4047.6</v>
      </c>
      <c r="K465" s="344">
        <f t="shared" si="45"/>
        <v>0</v>
      </c>
      <c r="L465" s="37">
        <f t="shared" si="48"/>
        <v>4011.3999999999996</v>
      </c>
      <c r="M465" s="37">
        <f t="shared" si="48"/>
        <v>3693.6</v>
      </c>
      <c r="N465" s="345"/>
      <c r="O465" s="345"/>
    </row>
    <row r="466" spans="1:15" s="346" customFormat="1" ht="18.75" customHeight="1">
      <c r="A466" s="139" t="s">
        <v>120</v>
      </c>
      <c r="B466" s="343" t="s">
        <v>24</v>
      </c>
      <c r="C466" s="107" t="s">
        <v>121</v>
      </c>
      <c r="D466" s="71"/>
      <c r="E466" s="71"/>
      <c r="F466" s="71"/>
      <c r="G466" s="71"/>
      <c r="H466" s="71"/>
      <c r="I466" s="37">
        <f t="shared" si="48"/>
        <v>4047.6</v>
      </c>
      <c r="J466" s="37">
        <f t="shared" si="48"/>
        <v>4047.6</v>
      </c>
      <c r="K466" s="344">
        <f t="shared" si="45"/>
        <v>0</v>
      </c>
      <c r="L466" s="37">
        <f t="shared" si="48"/>
        <v>4011.3999999999996</v>
      </c>
      <c r="M466" s="37">
        <f t="shared" si="48"/>
        <v>3693.6</v>
      </c>
      <c r="N466" s="345"/>
      <c r="O466" s="345"/>
    </row>
    <row r="467" spans="1:15" s="345" customFormat="1" ht="45" customHeight="1">
      <c r="A467" s="139" t="s">
        <v>214</v>
      </c>
      <c r="B467" s="343" t="s">
        <v>24</v>
      </c>
      <c r="C467" s="107" t="s">
        <v>121</v>
      </c>
      <c r="D467" s="71" t="s">
        <v>215</v>
      </c>
      <c r="E467" s="71" t="s">
        <v>154</v>
      </c>
      <c r="F467" s="71" t="s">
        <v>155</v>
      </c>
      <c r="G467" s="71" t="s">
        <v>156</v>
      </c>
      <c r="H467" s="71"/>
      <c r="I467" s="37">
        <f t="shared" si="48"/>
        <v>4047.6</v>
      </c>
      <c r="J467" s="37">
        <f t="shared" si="48"/>
        <v>4047.6</v>
      </c>
      <c r="K467" s="344">
        <f t="shared" si="45"/>
        <v>0</v>
      </c>
      <c r="L467" s="37">
        <f t="shared" si="48"/>
        <v>4011.3999999999996</v>
      </c>
      <c r="M467" s="37">
        <f t="shared" si="48"/>
        <v>3693.6</v>
      </c>
      <c r="N467" s="346"/>
      <c r="O467" s="346"/>
    </row>
    <row r="468" spans="1:15" s="345" customFormat="1" ht="35.25" customHeight="1">
      <c r="A468" s="136" t="s">
        <v>216</v>
      </c>
      <c r="B468" s="343" t="s">
        <v>24</v>
      </c>
      <c r="C468" s="107" t="s">
        <v>121</v>
      </c>
      <c r="D468" s="71" t="s">
        <v>215</v>
      </c>
      <c r="E468" s="71" t="s">
        <v>136</v>
      </c>
      <c r="F468" s="71" t="s">
        <v>155</v>
      </c>
      <c r="G468" s="71" t="s">
        <v>156</v>
      </c>
      <c r="H468" s="71"/>
      <c r="I468" s="37">
        <f>I469+I472</f>
        <v>4047.6</v>
      </c>
      <c r="J468" s="37">
        <f>J469+J472</f>
        <v>4047.6</v>
      </c>
      <c r="K468" s="344">
        <f t="shared" si="45"/>
        <v>0</v>
      </c>
      <c r="L468" s="37">
        <f>L469+L472</f>
        <v>4011.3999999999996</v>
      </c>
      <c r="M468" s="37">
        <f>M469+M472</f>
        <v>3693.6</v>
      </c>
      <c r="N468" s="346"/>
      <c r="O468" s="346"/>
    </row>
    <row r="469" spans="1:13" s="345" customFormat="1" ht="29.25" customHeight="1">
      <c r="A469" s="136" t="s">
        <v>893</v>
      </c>
      <c r="B469" s="343" t="s">
        <v>24</v>
      </c>
      <c r="C469" s="107" t="s">
        <v>121</v>
      </c>
      <c r="D469" s="71" t="s">
        <v>215</v>
      </c>
      <c r="E469" s="71" t="s">
        <v>136</v>
      </c>
      <c r="F469" s="71" t="s">
        <v>153</v>
      </c>
      <c r="G469" s="71" t="s">
        <v>156</v>
      </c>
      <c r="H469" s="71"/>
      <c r="I469" s="37">
        <f aca="true" t="shared" si="49" ref="I469:M470">I470</f>
        <v>362.9</v>
      </c>
      <c r="J469" s="37">
        <f t="shared" si="49"/>
        <v>362.9</v>
      </c>
      <c r="K469" s="344">
        <f t="shared" si="45"/>
        <v>0</v>
      </c>
      <c r="L469" s="37">
        <f t="shared" si="49"/>
        <v>371</v>
      </c>
      <c r="M469" s="37">
        <f t="shared" si="49"/>
        <v>371</v>
      </c>
    </row>
    <row r="470" spans="1:13" s="346" customFormat="1" ht="61.5" customHeight="1">
      <c r="A470" s="123" t="s">
        <v>513</v>
      </c>
      <c r="B470" s="347" t="s">
        <v>24</v>
      </c>
      <c r="C470" s="112" t="s">
        <v>121</v>
      </c>
      <c r="D470" s="111" t="s">
        <v>215</v>
      </c>
      <c r="E470" s="111" t="s">
        <v>136</v>
      </c>
      <c r="F470" s="111" t="s">
        <v>153</v>
      </c>
      <c r="G470" s="111" t="s">
        <v>218</v>
      </c>
      <c r="H470" s="111"/>
      <c r="I470" s="78">
        <f t="shared" si="49"/>
        <v>362.9</v>
      </c>
      <c r="J470" s="78">
        <f t="shared" si="49"/>
        <v>362.9</v>
      </c>
      <c r="K470" s="348">
        <f t="shared" si="45"/>
        <v>0</v>
      </c>
      <c r="L470" s="78">
        <f t="shared" si="49"/>
        <v>371</v>
      </c>
      <c r="M470" s="78">
        <f t="shared" si="49"/>
        <v>371</v>
      </c>
    </row>
    <row r="471" spans="1:15" s="346" customFormat="1" ht="33" customHeight="1">
      <c r="A471" s="123" t="s">
        <v>758</v>
      </c>
      <c r="B471" s="347" t="s">
        <v>24</v>
      </c>
      <c r="C471" s="112" t="s">
        <v>121</v>
      </c>
      <c r="D471" s="111" t="s">
        <v>215</v>
      </c>
      <c r="E471" s="111" t="s">
        <v>136</v>
      </c>
      <c r="F471" s="111" t="s">
        <v>153</v>
      </c>
      <c r="G471" s="111" t="s">
        <v>218</v>
      </c>
      <c r="H471" s="111" t="s">
        <v>757</v>
      </c>
      <c r="I471" s="78">
        <v>362.9</v>
      </c>
      <c r="J471" s="78">
        <v>362.9</v>
      </c>
      <c r="K471" s="348">
        <f t="shared" si="45"/>
        <v>0</v>
      </c>
      <c r="L471" s="78">
        <v>371</v>
      </c>
      <c r="M471" s="78">
        <v>371</v>
      </c>
      <c r="N471" s="327"/>
      <c r="O471" s="327"/>
    </row>
    <row r="472" spans="1:15" s="345" customFormat="1" ht="33.75" customHeight="1">
      <c r="A472" s="136" t="s">
        <v>894</v>
      </c>
      <c r="B472" s="343" t="s">
        <v>24</v>
      </c>
      <c r="C472" s="107" t="s">
        <v>121</v>
      </c>
      <c r="D472" s="71" t="s">
        <v>215</v>
      </c>
      <c r="E472" s="71" t="s">
        <v>136</v>
      </c>
      <c r="F472" s="71" t="s">
        <v>166</v>
      </c>
      <c r="G472" s="71" t="s">
        <v>156</v>
      </c>
      <c r="H472" s="71"/>
      <c r="I472" s="37">
        <f>I473+I475+I477</f>
        <v>3684.7</v>
      </c>
      <c r="J472" s="37">
        <f>J473+J475+J477</f>
        <v>3684.7</v>
      </c>
      <c r="K472" s="344">
        <f t="shared" si="45"/>
        <v>0</v>
      </c>
      <c r="L472" s="37">
        <f>L473+L475+L477</f>
        <v>3640.3999999999996</v>
      </c>
      <c r="M472" s="37">
        <f>M473+M475+M477</f>
        <v>3322.6</v>
      </c>
      <c r="N472" s="355"/>
      <c r="O472" s="355"/>
    </row>
    <row r="473" spans="1:15" ht="48.75" customHeight="1">
      <c r="A473" s="127" t="s">
        <v>219</v>
      </c>
      <c r="B473" s="347" t="s">
        <v>24</v>
      </c>
      <c r="C473" s="112" t="s">
        <v>121</v>
      </c>
      <c r="D473" s="111" t="s">
        <v>215</v>
      </c>
      <c r="E473" s="111" t="s">
        <v>136</v>
      </c>
      <c r="F473" s="111" t="s">
        <v>166</v>
      </c>
      <c r="G473" s="111" t="s">
        <v>220</v>
      </c>
      <c r="H473" s="111"/>
      <c r="I473" s="78">
        <f>I474</f>
        <v>1284.3000000000002</v>
      </c>
      <c r="J473" s="78">
        <f>J474</f>
        <v>1284.3000000000002</v>
      </c>
      <c r="K473" s="348">
        <f t="shared" si="45"/>
        <v>0</v>
      </c>
      <c r="L473" s="78">
        <f>L474</f>
        <v>1184.6</v>
      </c>
      <c r="M473" s="78">
        <f>M474</f>
        <v>1184.6</v>
      </c>
      <c r="N473" s="355"/>
      <c r="O473" s="355"/>
    </row>
    <row r="474" spans="1:13" s="355" customFormat="1" ht="33.75" customHeight="1">
      <c r="A474" s="123" t="s">
        <v>758</v>
      </c>
      <c r="B474" s="347" t="s">
        <v>24</v>
      </c>
      <c r="C474" s="112" t="s">
        <v>121</v>
      </c>
      <c r="D474" s="111" t="s">
        <v>215</v>
      </c>
      <c r="E474" s="111" t="s">
        <v>136</v>
      </c>
      <c r="F474" s="111" t="s">
        <v>166</v>
      </c>
      <c r="G474" s="111" t="s">
        <v>220</v>
      </c>
      <c r="H474" s="111" t="s">
        <v>757</v>
      </c>
      <c r="I474" s="78">
        <f>1157.9+126.4</f>
        <v>1284.3000000000002</v>
      </c>
      <c r="J474" s="78">
        <f>1157.9+126.4</f>
        <v>1284.3000000000002</v>
      </c>
      <c r="K474" s="348">
        <f t="shared" si="45"/>
        <v>0</v>
      </c>
      <c r="L474" s="78">
        <v>1184.6</v>
      </c>
      <c r="M474" s="78">
        <v>1184.6</v>
      </c>
    </row>
    <row r="475" spans="1:13" s="355" customFormat="1" ht="36" customHeight="1">
      <c r="A475" s="123" t="s">
        <v>221</v>
      </c>
      <c r="B475" s="347" t="s">
        <v>24</v>
      </c>
      <c r="C475" s="112" t="s">
        <v>121</v>
      </c>
      <c r="D475" s="111" t="s">
        <v>215</v>
      </c>
      <c r="E475" s="111" t="s">
        <v>136</v>
      </c>
      <c r="F475" s="111" t="s">
        <v>166</v>
      </c>
      <c r="G475" s="111" t="s">
        <v>222</v>
      </c>
      <c r="H475" s="111"/>
      <c r="I475" s="78">
        <f>I476</f>
        <v>134.7</v>
      </c>
      <c r="J475" s="78">
        <f>J476</f>
        <v>134.7</v>
      </c>
      <c r="K475" s="348">
        <f t="shared" si="45"/>
        <v>0</v>
      </c>
      <c r="L475" s="78">
        <f>L476</f>
        <v>137.8</v>
      </c>
      <c r="M475" s="78">
        <f>M476</f>
        <v>0</v>
      </c>
    </row>
    <row r="476" spans="1:13" s="355" customFormat="1" ht="32.25" customHeight="1">
      <c r="A476" s="123" t="s">
        <v>758</v>
      </c>
      <c r="B476" s="347" t="s">
        <v>24</v>
      </c>
      <c r="C476" s="112" t="s">
        <v>121</v>
      </c>
      <c r="D476" s="111" t="s">
        <v>215</v>
      </c>
      <c r="E476" s="111" t="s">
        <v>136</v>
      </c>
      <c r="F476" s="111" t="s">
        <v>166</v>
      </c>
      <c r="G476" s="111" t="s">
        <v>222</v>
      </c>
      <c r="H476" s="111" t="s">
        <v>757</v>
      </c>
      <c r="I476" s="78">
        <v>134.7</v>
      </c>
      <c r="J476" s="78">
        <v>134.7</v>
      </c>
      <c r="K476" s="348">
        <f t="shared" si="45"/>
        <v>0</v>
      </c>
      <c r="L476" s="78">
        <v>137.8</v>
      </c>
      <c r="M476" s="78"/>
    </row>
    <row r="477" spans="1:13" s="355" customFormat="1" ht="33.75" customHeight="1">
      <c r="A477" s="127" t="s">
        <v>223</v>
      </c>
      <c r="B477" s="347" t="s">
        <v>24</v>
      </c>
      <c r="C477" s="112" t="s">
        <v>121</v>
      </c>
      <c r="D477" s="111" t="s">
        <v>215</v>
      </c>
      <c r="E477" s="111" t="s">
        <v>136</v>
      </c>
      <c r="F477" s="111" t="s">
        <v>166</v>
      </c>
      <c r="G477" s="111" t="s">
        <v>224</v>
      </c>
      <c r="H477" s="111"/>
      <c r="I477" s="78">
        <f>I478</f>
        <v>2265.7</v>
      </c>
      <c r="J477" s="78">
        <f>J478</f>
        <v>2265.7</v>
      </c>
      <c r="K477" s="348">
        <f t="shared" si="45"/>
        <v>0</v>
      </c>
      <c r="L477" s="78">
        <f>L478</f>
        <v>2318</v>
      </c>
      <c r="M477" s="78">
        <f>M478</f>
        <v>2138</v>
      </c>
    </row>
    <row r="478" spans="1:15" s="355" customFormat="1" ht="18" customHeight="1">
      <c r="A478" s="124" t="s">
        <v>765</v>
      </c>
      <c r="B478" s="347" t="s">
        <v>24</v>
      </c>
      <c r="C478" s="112" t="s">
        <v>121</v>
      </c>
      <c r="D478" s="111" t="s">
        <v>215</v>
      </c>
      <c r="E478" s="111" t="s">
        <v>136</v>
      </c>
      <c r="F478" s="111" t="s">
        <v>166</v>
      </c>
      <c r="G478" s="111" t="s">
        <v>224</v>
      </c>
      <c r="H478" s="111" t="s">
        <v>766</v>
      </c>
      <c r="I478" s="78">
        <v>2265.7</v>
      </c>
      <c r="J478" s="78">
        <v>2265.7</v>
      </c>
      <c r="K478" s="348">
        <f t="shared" si="45"/>
        <v>0</v>
      </c>
      <c r="L478" s="78">
        <v>2318</v>
      </c>
      <c r="M478" s="78">
        <v>2138</v>
      </c>
      <c r="N478" s="327"/>
      <c r="O478" s="327"/>
    </row>
    <row r="479" spans="1:15" s="355" customFormat="1" ht="31.5" customHeight="1">
      <c r="A479" s="139" t="s">
        <v>134</v>
      </c>
      <c r="B479" s="343">
        <v>111</v>
      </c>
      <c r="C479" s="107"/>
      <c r="D479" s="71"/>
      <c r="E479" s="71"/>
      <c r="F479" s="71"/>
      <c r="G479" s="71"/>
      <c r="H479" s="71"/>
      <c r="I479" s="37">
        <f>I480+I541+I556+I571+I634+I655+I662+I669</f>
        <v>235480.5</v>
      </c>
      <c r="J479" s="37">
        <f>J480+J541+J556+J571+J634+J655+J662+J669</f>
        <v>240549.2</v>
      </c>
      <c r="K479" s="344">
        <f t="shared" si="45"/>
        <v>5068.700000000012</v>
      </c>
      <c r="L479" s="37">
        <f>L480+L541+L556+L571+L634+L655+L662+L669</f>
        <v>216813.3</v>
      </c>
      <c r="M479" s="37">
        <f>M480+M541+M556+M571+M634+M655+M662+M669</f>
        <v>221878.5</v>
      </c>
      <c r="N479" s="327"/>
      <c r="O479" s="327"/>
    </row>
    <row r="480" spans="1:13" ht="18" customHeight="1">
      <c r="A480" s="139" t="s">
        <v>42</v>
      </c>
      <c r="B480" s="343">
        <v>111</v>
      </c>
      <c r="C480" s="107" t="s">
        <v>43</v>
      </c>
      <c r="D480" s="71"/>
      <c r="E480" s="71"/>
      <c r="F480" s="71"/>
      <c r="G480" s="71"/>
      <c r="H480" s="366"/>
      <c r="I480" s="37">
        <f>I481+I489+I520+I526</f>
        <v>35524.200000000004</v>
      </c>
      <c r="J480" s="37">
        <f>J481+J489+J520+J526</f>
        <v>35524.200000000004</v>
      </c>
      <c r="K480" s="344">
        <f t="shared" si="45"/>
        <v>0</v>
      </c>
      <c r="L480" s="37">
        <f>L481+L489+L520+L526</f>
        <v>48207.200000000004</v>
      </c>
      <c r="M480" s="37">
        <f>M481+M489+M520+M526</f>
        <v>49374</v>
      </c>
    </row>
    <row r="481" spans="1:15" ht="48" customHeight="1">
      <c r="A481" s="139" t="s">
        <v>414</v>
      </c>
      <c r="B481" s="343">
        <v>111</v>
      </c>
      <c r="C481" s="107" t="s">
        <v>49</v>
      </c>
      <c r="D481" s="71"/>
      <c r="E481" s="71"/>
      <c r="F481" s="71"/>
      <c r="G481" s="71"/>
      <c r="H481" s="366"/>
      <c r="I481" s="37">
        <f aca="true" t="shared" si="50" ref="I481:J483">I482</f>
        <v>1680</v>
      </c>
      <c r="J481" s="37">
        <f t="shared" si="50"/>
        <v>1680</v>
      </c>
      <c r="K481" s="344">
        <f t="shared" si="45"/>
        <v>0</v>
      </c>
      <c r="L481" s="37">
        <f aca="true" t="shared" si="51" ref="L481:M483">L482</f>
        <v>0</v>
      </c>
      <c r="M481" s="37">
        <f t="shared" si="51"/>
        <v>0</v>
      </c>
      <c r="N481" s="355"/>
      <c r="O481" s="355"/>
    </row>
    <row r="482" spans="1:13" ht="22.5" customHeight="1">
      <c r="A482" s="139" t="s">
        <v>441</v>
      </c>
      <c r="B482" s="343">
        <v>111</v>
      </c>
      <c r="C482" s="107" t="s">
        <v>49</v>
      </c>
      <c r="D482" s="71" t="s">
        <v>442</v>
      </c>
      <c r="E482" s="71" t="s">
        <v>154</v>
      </c>
      <c r="F482" s="71" t="s">
        <v>155</v>
      </c>
      <c r="G482" s="71" t="s">
        <v>156</v>
      </c>
      <c r="H482" s="366"/>
      <c r="I482" s="37">
        <f t="shared" si="50"/>
        <v>1680</v>
      </c>
      <c r="J482" s="37">
        <f t="shared" si="50"/>
        <v>1680</v>
      </c>
      <c r="K482" s="344">
        <f t="shared" si="45"/>
        <v>0</v>
      </c>
      <c r="L482" s="37">
        <f t="shared" si="51"/>
        <v>0</v>
      </c>
      <c r="M482" s="37">
        <f t="shared" si="51"/>
        <v>0</v>
      </c>
    </row>
    <row r="483" spans="1:13" s="355" customFormat="1" ht="20.25" customHeight="1">
      <c r="A483" s="136" t="s">
        <v>410</v>
      </c>
      <c r="B483" s="343">
        <v>111</v>
      </c>
      <c r="C483" s="107" t="s">
        <v>49</v>
      </c>
      <c r="D483" s="71" t="s">
        <v>442</v>
      </c>
      <c r="E483" s="71" t="s">
        <v>338</v>
      </c>
      <c r="F483" s="71" t="s">
        <v>155</v>
      </c>
      <c r="G483" s="71" t="s">
        <v>156</v>
      </c>
      <c r="H483" s="366"/>
      <c r="I483" s="37">
        <f t="shared" si="50"/>
        <v>1680</v>
      </c>
      <c r="J483" s="37">
        <f t="shared" si="50"/>
        <v>1680</v>
      </c>
      <c r="K483" s="344">
        <f t="shared" si="45"/>
        <v>0</v>
      </c>
      <c r="L483" s="37">
        <f t="shared" si="51"/>
        <v>0</v>
      </c>
      <c r="M483" s="37">
        <f t="shared" si="51"/>
        <v>0</v>
      </c>
    </row>
    <row r="484" spans="1:13" s="355" customFormat="1" ht="22.5" customHeight="1">
      <c r="A484" s="137" t="s">
        <v>410</v>
      </c>
      <c r="B484" s="343">
        <v>111</v>
      </c>
      <c r="C484" s="107" t="s">
        <v>49</v>
      </c>
      <c r="D484" s="71" t="s">
        <v>442</v>
      </c>
      <c r="E484" s="71" t="s">
        <v>338</v>
      </c>
      <c r="F484" s="71" t="s">
        <v>153</v>
      </c>
      <c r="G484" s="71" t="s">
        <v>156</v>
      </c>
      <c r="H484" s="366"/>
      <c r="I484" s="37">
        <f>I487+I485</f>
        <v>1680</v>
      </c>
      <c r="J484" s="37">
        <f>J487+J485</f>
        <v>1680</v>
      </c>
      <c r="K484" s="344">
        <f>K487+K485</f>
        <v>0</v>
      </c>
      <c r="L484" s="37">
        <f>L487+L485</f>
        <v>0</v>
      </c>
      <c r="M484" s="37">
        <f>M487+M485</f>
        <v>0</v>
      </c>
    </row>
    <row r="485" spans="1:13" s="355" customFormat="1" ht="48.75" customHeight="1">
      <c r="A485" s="123" t="s">
        <v>1183</v>
      </c>
      <c r="B485" s="347">
        <v>111</v>
      </c>
      <c r="C485" s="112" t="s">
        <v>49</v>
      </c>
      <c r="D485" s="111" t="s">
        <v>442</v>
      </c>
      <c r="E485" s="111" t="s">
        <v>338</v>
      </c>
      <c r="F485" s="111" t="s">
        <v>153</v>
      </c>
      <c r="G485" s="111" t="s">
        <v>1169</v>
      </c>
      <c r="H485" s="367"/>
      <c r="I485" s="78">
        <f>I486</f>
        <v>1680</v>
      </c>
      <c r="J485" s="78">
        <f>J486</f>
        <v>1680</v>
      </c>
      <c r="K485" s="348">
        <f t="shared" si="45"/>
        <v>0</v>
      </c>
      <c r="L485" s="78">
        <f>L486</f>
        <v>0</v>
      </c>
      <c r="M485" s="78">
        <f>M486</f>
        <v>0</v>
      </c>
    </row>
    <row r="486" spans="1:13" s="355" customFormat="1" ht="22.5" customHeight="1">
      <c r="A486" s="124" t="s">
        <v>765</v>
      </c>
      <c r="B486" s="347">
        <v>111</v>
      </c>
      <c r="C486" s="112" t="s">
        <v>49</v>
      </c>
      <c r="D486" s="111" t="s">
        <v>442</v>
      </c>
      <c r="E486" s="111" t="s">
        <v>338</v>
      </c>
      <c r="F486" s="111" t="s">
        <v>153</v>
      </c>
      <c r="G486" s="111" t="s">
        <v>1169</v>
      </c>
      <c r="H486" s="111" t="s">
        <v>766</v>
      </c>
      <c r="I486" s="78">
        <v>1680</v>
      </c>
      <c r="J486" s="78">
        <v>1680</v>
      </c>
      <c r="K486" s="348">
        <f t="shared" si="45"/>
        <v>0</v>
      </c>
      <c r="L486" s="78"/>
      <c r="M486" s="78"/>
    </row>
    <row r="487" spans="1:13" s="355" customFormat="1" ht="30.75" customHeight="1" hidden="1">
      <c r="A487" s="121" t="s">
        <v>483</v>
      </c>
      <c r="B487" s="347">
        <v>111</v>
      </c>
      <c r="C487" s="112" t="s">
        <v>49</v>
      </c>
      <c r="D487" s="111" t="s">
        <v>442</v>
      </c>
      <c r="E487" s="111" t="s">
        <v>338</v>
      </c>
      <c r="F487" s="111" t="s">
        <v>153</v>
      </c>
      <c r="G487" s="111" t="s">
        <v>484</v>
      </c>
      <c r="H487" s="367"/>
      <c r="I487" s="78">
        <f>I488</f>
        <v>0</v>
      </c>
      <c r="J487" s="78">
        <f>J488</f>
        <v>0</v>
      </c>
      <c r="K487" s="348">
        <f t="shared" si="45"/>
        <v>0</v>
      </c>
      <c r="L487" s="78">
        <f>L488</f>
        <v>0</v>
      </c>
      <c r="M487" s="78">
        <f>M488</f>
        <v>0</v>
      </c>
    </row>
    <row r="488" spans="1:13" s="355" customFormat="1" ht="15.75" customHeight="1" hidden="1">
      <c r="A488" s="124" t="s">
        <v>765</v>
      </c>
      <c r="B488" s="347">
        <v>111</v>
      </c>
      <c r="C488" s="112" t="s">
        <v>49</v>
      </c>
      <c r="D488" s="111" t="s">
        <v>442</v>
      </c>
      <c r="E488" s="111" t="s">
        <v>338</v>
      </c>
      <c r="F488" s="111" t="s">
        <v>153</v>
      </c>
      <c r="G488" s="111" t="s">
        <v>484</v>
      </c>
      <c r="H488" s="111" t="s">
        <v>766</v>
      </c>
      <c r="I488" s="78"/>
      <c r="J488" s="78"/>
      <c r="K488" s="348">
        <f t="shared" si="45"/>
        <v>0</v>
      </c>
      <c r="L488" s="78"/>
      <c r="M488" s="78"/>
    </row>
    <row r="489" spans="1:13" s="355" customFormat="1" ht="35.25" customHeight="1">
      <c r="A489" s="137" t="s">
        <v>52</v>
      </c>
      <c r="B489" s="343">
        <v>111</v>
      </c>
      <c r="C489" s="107" t="s">
        <v>53</v>
      </c>
      <c r="D489" s="71"/>
      <c r="E489" s="71"/>
      <c r="F489" s="71"/>
      <c r="G489" s="71"/>
      <c r="H489" s="366"/>
      <c r="I489" s="37">
        <f>I490+I499+I504</f>
        <v>25411.7</v>
      </c>
      <c r="J489" s="37">
        <f>J490+J499+J504</f>
        <v>25411.7</v>
      </c>
      <c r="K489" s="344">
        <f t="shared" si="45"/>
        <v>0</v>
      </c>
      <c r="L489" s="37">
        <f>L490+L499+L504</f>
        <v>23107.200000000004</v>
      </c>
      <c r="M489" s="37">
        <f>M490+M499+M504</f>
        <v>24264.000000000004</v>
      </c>
    </row>
    <row r="490" spans="1:15" s="355" customFormat="1" ht="50.25" customHeight="1">
      <c r="A490" s="139" t="s">
        <v>179</v>
      </c>
      <c r="B490" s="343">
        <v>111</v>
      </c>
      <c r="C490" s="107" t="s">
        <v>53</v>
      </c>
      <c r="D490" s="71" t="s">
        <v>180</v>
      </c>
      <c r="E490" s="71" t="s">
        <v>154</v>
      </c>
      <c r="F490" s="71" t="s">
        <v>155</v>
      </c>
      <c r="G490" s="71" t="s">
        <v>156</v>
      </c>
      <c r="H490" s="71"/>
      <c r="I490" s="37">
        <f>I491+I495</f>
        <v>129.5</v>
      </c>
      <c r="J490" s="37">
        <f>J491+J495</f>
        <v>129.5</v>
      </c>
      <c r="K490" s="344">
        <f t="shared" si="45"/>
        <v>0</v>
      </c>
      <c r="L490" s="37">
        <f>L491+L495</f>
        <v>129.5</v>
      </c>
      <c r="M490" s="37">
        <f>M491+M495</f>
        <v>129.3</v>
      </c>
      <c r="O490" s="368"/>
    </row>
    <row r="491" spans="1:13" s="355" customFormat="1" ht="50.25" customHeight="1">
      <c r="A491" s="136" t="s">
        <v>181</v>
      </c>
      <c r="B491" s="343">
        <v>111</v>
      </c>
      <c r="C491" s="107" t="s">
        <v>53</v>
      </c>
      <c r="D491" s="71" t="s">
        <v>180</v>
      </c>
      <c r="E491" s="71" t="s">
        <v>136</v>
      </c>
      <c r="F491" s="71" t="s">
        <v>155</v>
      </c>
      <c r="G491" s="71" t="s">
        <v>156</v>
      </c>
      <c r="H491" s="71"/>
      <c r="I491" s="37">
        <f aca="true" t="shared" si="52" ref="I491:M493">I492</f>
        <v>29.5</v>
      </c>
      <c r="J491" s="37">
        <f t="shared" si="52"/>
        <v>29.5</v>
      </c>
      <c r="K491" s="344">
        <f t="shared" si="45"/>
        <v>0</v>
      </c>
      <c r="L491" s="37">
        <f t="shared" si="52"/>
        <v>29.5</v>
      </c>
      <c r="M491" s="37">
        <f t="shared" si="52"/>
        <v>29.3</v>
      </c>
    </row>
    <row r="492" spans="1:13" s="355" customFormat="1" ht="47.25" customHeight="1">
      <c r="A492" s="137" t="s">
        <v>182</v>
      </c>
      <c r="B492" s="343">
        <v>111</v>
      </c>
      <c r="C492" s="107" t="s">
        <v>53</v>
      </c>
      <c r="D492" s="71" t="s">
        <v>180</v>
      </c>
      <c r="E492" s="71" t="s">
        <v>136</v>
      </c>
      <c r="F492" s="71" t="s">
        <v>153</v>
      </c>
      <c r="G492" s="71" t="s">
        <v>156</v>
      </c>
      <c r="H492" s="71"/>
      <c r="I492" s="37">
        <f t="shared" si="52"/>
        <v>29.5</v>
      </c>
      <c r="J492" s="37">
        <f t="shared" si="52"/>
        <v>29.5</v>
      </c>
      <c r="K492" s="344">
        <f t="shared" si="45"/>
        <v>0</v>
      </c>
      <c r="L492" s="37">
        <f t="shared" si="52"/>
        <v>29.5</v>
      </c>
      <c r="M492" s="37">
        <f t="shared" si="52"/>
        <v>29.3</v>
      </c>
    </row>
    <row r="493" spans="1:13" ht="63.75" customHeight="1">
      <c r="A493" s="123" t="s">
        <v>185</v>
      </c>
      <c r="B493" s="347">
        <v>111</v>
      </c>
      <c r="C493" s="112" t="s">
        <v>53</v>
      </c>
      <c r="D493" s="111" t="s">
        <v>180</v>
      </c>
      <c r="E493" s="111" t="s">
        <v>136</v>
      </c>
      <c r="F493" s="111" t="s">
        <v>153</v>
      </c>
      <c r="G493" s="111" t="s">
        <v>186</v>
      </c>
      <c r="H493" s="111"/>
      <c r="I493" s="78">
        <f t="shared" si="52"/>
        <v>29.5</v>
      </c>
      <c r="J493" s="78">
        <f t="shared" si="52"/>
        <v>29.5</v>
      </c>
      <c r="K493" s="348">
        <f t="shared" si="45"/>
        <v>0</v>
      </c>
      <c r="L493" s="78">
        <f t="shared" si="52"/>
        <v>29.5</v>
      </c>
      <c r="M493" s="78">
        <f t="shared" si="52"/>
        <v>29.3</v>
      </c>
    </row>
    <row r="494" spans="1:15" ht="63.75" customHeight="1">
      <c r="A494" s="123" t="s">
        <v>755</v>
      </c>
      <c r="B494" s="347">
        <v>111</v>
      </c>
      <c r="C494" s="112" t="s">
        <v>53</v>
      </c>
      <c r="D494" s="111" t="s">
        <v>180</v>
      </c>
      <c r="E494" s="111" t="s">
        <v>136</v>
      </c>
      <c r="F494" s="111" t="s">
        <v>153</v>
      </c>
      <c r="G494" s="111" t="s">
        <v>186</v>
      </c>
      <c r="H494" s="111" t="s">
        <v>756</v>
      </c>
      <c r="I494" s="78">
        <v>29.5</v>
      </c>
      <c r="J494" s="78">
        <v>29.5</v>
      </c>
      <c r="K494" s="348">
        <f t="shared" si="45"/>
        <v>0</v>
      </c>
      <c r="L494" s="78">
        <v>29.5</v>
      </c>
      <c r="M494" s="78">
        <v>29.3</v>
      </c>
      <c r="N494" s="355"/>
      <c r="O494" s="355"/>
    </row>
    <row r="495" spans="1:15" s="355" customFormat="1" ht="39" customHeight="1">
      <c r="A495" s="130" t="s">
        <v>1089</v>
      </c>
      <c r="B495" s="343">
        <v>111</v>
      </c>
      <c r="C495" s="107" t="s">
        <v>53</v>
      </c>
      <c r="D495" s="71" t="s">
        <v>180</v>
      </c>
      <c r="E495" s="71" t="s">
        <v>139</v>
      </c>
      <c r="F495" s="71" t="s">
        <v>155</v>
      </c>
      <c r="G495" s="107" t="s">
        <v>156</v>
      </c>
      <c r="H495" s="105"/>
      <c r="I495" s="37">
        <f aca="true" t="shared" si="53" ref="I495:J497">I496</f>
        <v>100</v>
      </c>
      <c r="J495" s="37">
        <f t="shared" si="53"/>
        <v>100</v>
      </c>
      <c r="K495" s="344">
        <f>J495-I495</f>
        <v>0</v>
      </c>
      <c r="L495" s="37">
        <f aca="true" t="shared" si="54" ref="L495:M497">L496</f>
        <v>100</v>
      </c>
      <c r="M495" s="37">
        <f t="shared" si="54"/>
        <v>100</v>
      </c>
      <c r="N495" s="345"/>
      <c r="O495" s="345"/>
    </row>
    <row r="496" spans="1:15" ht="32.25" customHeight="1">
      <c r="A496" s="130" t="s">
        <v>978</v>
      </c>
      <c r="B496" s="343">
        <v>111</v>
      </c>
      <c r="C496" s="107" t="s">
        <v>53</v>
      </c>
      <c r="D496" s="71" t="s">
        <v>180</v>
      </c>
      <c r="E496" s="71" t="s">
        <v>139</v>
      </c>
      <c r="F496" s="71" t="s">
        <v>153</v>
      </c>
      <c r="G496" s="107" t="s">
        <v>156</v>
      </c>
      <c r="H496" s="105"/>
      <c r="I496" s="78">
        <f t="shared" si="53"/>
        <v>100</v>
      </c>
      <c r="J496" s="78">
        <f t="shared" si="53"/>
        <v>100</v>
      </c>
      <c r="K496" s="348">
        <f>J496-I496</f>
        <v>0</v>
      </c>
      <c r="L496" s="78">
        <f t="shared" si="54"/>
        <v>100</v>
      </c>
      <c r="M496" s="78">
        <f t="shared" si="54"/>
        <v>100</v>
      </c>
      <c r="N496" s="345"/>
      <c r="O496" s="345"/>
    </row>
    <row r="497" spans="1:15" ht="33.75" customHeight="1">
      <c r="A497" s="93" t="s">
        <v>979</v>
      </c>
      <c r="B497" s="347">
        <v>111</v>
      </c>
      <c r="C497" s="112" t="s">
        <v>53</v>
      </c>
      <c r="D497" s="111" t="s">
        <v>180</v>
      </c>
      <c r="E497" s="111" t="s">
        <v>139</v>
      </c>
      <c r="F497" s="111" t="s">
        <v>153</v>
      </c>
      <c r="G497" s="112" t="s">
        <v>980</v>
      </c>
      <c r="H497" s="129"/>
      <c r="I497" s="78">
        <f t="shared" si="53"/>
        <v>100</v>
      </c>
      <c r="J497" s="78">
        <f t="shared" si="53"/>
        <v>100</v>
      </c>
      <c r="K497" s="348">
        <f>J497-I497</f>
        <v>0</v>
      </c>
      <c r="L497" s="78">
        <f t="shared" si="54"/>
        <v>100</v>
      </c>
      <c r="M497" s="78">
        <f t="shared" si="54"/>
        <v>100</v>
      </c>
      <c r="N497" s="345"/>
      <c r="O497" s="345"/>
    </row>
    <row r="498" spans="1:15" ht="30.75" customHeight="1">
      <c r="A498" s="119" t="s">
        <v>758</v>
      </c>
      <c r="B498" s="347">
        <v>111</v>
      </c>
      <c r="C498" s="112" t="s">
        <v>53</v>
      </c>
      <c r="D498" s="111" t="s">
        <v>180</v>
      </c>
      <c r="E498" s="111" t="s">
        <v>139</v>
      </c>
      <c r="F498" s="111" t="s">
        <v>153</v>
      </c>
      <c r="G498" s="112" t="s">
        <v>980</v>
      </c>
      <c r="H498" s="129">
        <v>200</v>
      </c>
      <c r="I498" s="131">
        <v>100</v>
      </c>
      <c r="J498" s="131">
        <v>100</v>
      </c>
      <c r="K498" s="344"/>
      <c r="L498" s="78">
        <v>100</v>
      </c>
      <c r="M498" s="78">
        <v>100</v>
      </c>
      <c r="N498" s="345"/>
      <c r="O498" s="345"/>
    </row>
    <row r="499" spans="1:13" ht="51.75" customHeight="1">
      <c r="A499" s="122" t="s">
        <v>340</v>
      </c>
      <c r="B499" s="343">
        <v>111</v>
      </c>
      <c r="C499" s="107" t="s">
        <v>53</v>
      </c>
      <c r="D499" s="71" t="s">
        <v>309</v>
      </c>
      <c r="E499" s="71" t="s">
        <v>154</v>
      </c>
      <c r="F499" s="71" t="s">
        <v>155</v>
      </c>
      <c r="G499" s="71" t="s">
        <v>156</v>
      </c>
      <c r="H499" s="71"/>
      <c r="I499" s="37">
        <f aca="true" t="shared" si="55" ref="I499:M502">I500</f>
        <v>98.5</v>
      </c>
      <c r="J499" s="37">
        <f t="shared" si="55"/>
        <v>98.5</v>
      </c>
      <c r="K499" s="344">
        <f t="shared" si="45"/>
        <v>0</v>
      </c>
      <c r="L499" s="37">
        <f t="shared" si="55"/>
        <v>100</v>
      </c>
      <c r="M499" s="37">
        <f t="shared" si="55"/>
        <v>110</v>
      </c>
    </row>
    <row r="500" spans="1:15" s="355" customFormat="1" ht="36.75" customHeight="1">
      <c r="A500" s="109" t="s">
        <v>912</v>
      </c>
      <c r="B500" s="343">
        <v>111</v>
      </c>
      <c r="C500" s="107" t="s">
        <v>53</v>
      </c>
      <c r="D500" s="71" t="s">
        <v>309</v>
      </c>
      <c r="E500" s="71" t="s">
        <v>139</v>
      </c>
      <c r="F500" s="71" t="s">
        <v>155</v>
      </c>
      <c r="G500" s="71" t="s">
        <v>156</v>
      </c>
      <c r="H500" s="71"/>
      <c r="I500" s="37">
        <f t="shared" si="55"/>
        <v>98.5</v>
      </c>
      <c r="J500" s="37">
        <f t="shared" si="55"/>
        <v>98.5</v>
      </c>
      <c r="K500" s="344">
        <f t="shared" si="45"/>
        <v>0</v>
      </c>
      <c r="L500" s="37">
        <f t="shared" si="55"/>
        <v>100</v>
      </c>
      <c r="M500" s="37">
        <f t="shared" si="55"/>
        <v>110</v>
      </c>
      <c r="N500" s="327"/>
      <c r="O500" s="327"/>
    </row>
    <row r="501" spans="1:13" s="355" customFormat="1" ht="35.25" customHeight="1">
      <c r="A501" s="136" t="s">
        <v>913</v>
      </c>
      <c r="B501" s="343" t="s">
        <v>26</v>
      </c>
      <c r="C501" s="107" t="s">
        <v>53</v>
      </c>
      <c r="D501" s="71" t="s">
        <v>309</v>
      </c>
      <c r="E501" s="71" t="s">
        <v>139</v>
      </c>
      <c r="F501" s="71" t="s">
        <v>153</v>
      </c>
      <c r="G501" s="71" t="s">
        <v>156</v>
      </c>
      <c r="H501" s="71"/>
      <c r="I501" s="37">
        <f t="shared" si="55"/>
        <v>98.5</v>
      </c>
      <c r="J501" s="37">
        <f t="shared" si="55"/>
        <v>98.5</v>
      </c>
      <c r="K501" s="344">
        <f t="shared" si="45"/>
        <v>0</v>
      </c>
      <c r="L501" s="37">
        <f t="shared" si="55"/>
        <v>100</v>
      </c>
      <c r="M501" s="37">
        <f t="shared" si="55"/>
        <v>110</v>
      </c>
    </row>
    <row r="502" spans="1:13" ht="34.5" customHeight="1">
      <c r="A502" s="127" t="s">
        <v>352</v>
      </c>
      <c r="B502" s="347" t="s">
        <v>26</v>
      </c>
      <c r="C502" s="112" t="s">
        <v>53</v>
      </c>
      <c r="D502" s="111" t="s">
        <v>309</v>
      </c>
      <c r="E502" s="111" t="s">
        <v>139</v>
      </c>
      <c r="F502" s="111" t="s">
        <v>153</v>
      </c>
      <c r="G502" s="111" t="s">
        <v>353</v>
      </c>
      <c r="H502" s="111"/>
      <c r="I502" s="78">
        <f t="shared" si="55"/>
        <v>98.5</v>
      </c>
      <c r="J502" s="78">
        <f t="shared" si="55"/>
        <v>98.5</v>
      </c>
      <c r="K502" s="348">
        <f t="shared" si="45"/>
        <v>0</v>
      </c>
      <c r="L502" s="78">
        <f t="shared" si="55"/>
        <v>100</v>
      </c>
      <c r="M502" s="78">
        <f t="shared" si="55"/>
        <v>110</v>
      </c>
    </row>
    <row r="503" spans="1:13" ht="33.75" customHeight="1">
      <c r="A503" s="123" t="s">
        <v>758</v>
      </c>
      <c r="B503" s="347" t="s">
        <v>26</v>
      </c>
      <c r="C503" s="112" t="s">
        <v>53</v>
      </c>
      <c r="D503" s="111" t="s">
        <v>309</v>
      </c>
      <c r="E503" s="111" t="s">
        <v>139</v>
      </c>
      <c r="F503" s="111" t="s">
        <v>153</v>
      </c>
      <c r="G503" s="111" t="s">
        <v>353</v>
      </c>
      <c r="H503" s="111" t="s">
        <v>757</v>
      </c>
      <c r="I503" s="78">
        <f>98.5</f>
        <v>98.5</v>
      </c>
      <c r="J503" s="78">
        <f>98.5</f>
        <v>98.5</v>
      </c>
      <c r="K503" s="348">
        <f t="shared" si="45"/>
        <v>0</v>
      </c>
      <c r="L503" s="78">
        <f>100</f>
        <v>100</v>
      </c>
      <c r="M503" s="78">
        <f>110</f>
        <v>110</v>
      </c>
    </row>
    <row r="504" spans="1:13" ht="33" customHeight="1">
      <c r="A504" s="139" t="s">
        <v>407</v>
      </c>
      <c r="B504" s="343" t="s">
        <v>26</v>
      </c>
      <c r="C504" s="107" t="s">
        <v>53</v>
      </c>
      <c r="D504" s="107" t="s">
        <v>408</v>
      </c>
      <c r="E504" s="107" t="s">
        <v>154</v>
      </c>
      <c r="F504" s="107" t="s">
        <v>155</v>
      </c>
      <c r="G504" s="107" t="s">
        <v>156</v>
      </c>
      <c r="H504" s="105"/>
      <c r="I504" s="37">
        <f aca="true" t="shared" si="56" ref="I504:M505">I505</f>
        <v>25183.7</v>
      </c>
      <c r="J504" s="37">
        <f t="shared" si="56"/>
        <v>25183.7</v>
      </c>
      <c r="K504" s="344">
        <f t="shared" si="45"/>
        <v>0</v>
      </c>
      <c r="L504" s="37">
        <f t="shared" si="56"/>
        <v>22877.700000000004</v>
      </c>
      <c r="M504" s="37">
        <f t="shared" si="56"/>
        <v>24024.700000000004</v>
      </c>
    </row>
    <row r="505" spans="1:13" ht="30.75" customHeight="1">
      <c r="A505" s="136" t="s">
        <v>508</v>
      </c>
      <c r="B505" s="343" t="s">
        <v>26</v>
      </c>
      <c r="C505" s="107" t="s">
        <v>53</v>
      </c>
      <c r="D505" s="71" t="s">
        <v>408</v>
      </c>
      <c r="E505" s="71" t="s">
        <v>139</v>
      </c>
      <c r="F505" s="71" t="s">
        <v>155</v>
      </c>
      <c r="G505" s="71" t="s">
        <v>156</v>
      </c>
      <c r="H505" s="71"/>
      <c r="I505" s="37">
        <f t="shared" si="56"/>
        <v>25183.7</v>
      </c>
      <c r="J505" s="37">
        <f t="shared" si="56"/>
        <v>25183.7</v>
      </c>
      <c r="K505" s="344">
        <f t="shared" si="45"/>
        <v>0</v>
      </c>
      <c r="L505" s="37">
        <f t="shared" si="56"/>
        <v>22877.700000000004</v>
      </c>
      <c r="M505" s="37">
        <f t="shared" si="56"/>
        <v>24024.700000000004</v>
      </c>
    </row>
    <row r="506" spans="1:13" s="355" customFormat="1" ht="20.25" customHeight="1">
      <c r="A506" s="137" t="s">
        <v>410</v>
      </c>
      <c r="B506" s="343" t="s">
        <v>26</v>
      </c>
      <c r="C506" s="107" t="s">
        <v>53</v>
      </c>
      <c r="D506" s="107" t="s">
        <v>408</v>
      </c>
      <c r="E506" s="107" t="s">
        <v>139</v>
      </c>
      <c r="F506" s="107" t="s">
        <v>153</v>
      </c>
      <c r="G506" s="107" t="s">
        <v>156</v>
      </c>
      <c r="H506" s="105"/>
      <c r="I506" s="37">
        <f>I507+I511+I515+I517+I513</f>
        <v>25183.7</v>
      </c>
      <c r="J506" s="37">
        <f>J507+J511+J515+J517+J513</f>
        <v>25183.7</v>
      </c>
      <c r="K506" s="344">
        <f t="shared" si="45"/>
        <v>0</v>
      </c>
      <c r="L506" s="37">
        <f>L507+L511+L515+L517+L513</f>
        <v>22877.700000000004</v>
      </c>
      <c r="M506" s="37">
        <f>M507+M511+M515+M517+M513</f>
        <v>24024.700000000004</v>
      </c>
    </row>
    <row r="507" spans="1:15" ht="21" customHeight="1">
      <c r="A507" s="123" t="s">
        <v>411</v>
      </c>
      <c r="B507" s="347" t="s">
        <v>26</v>
      </c>
      <c r="C507" s="112" t="s">
        <v>53</v>
      </c>
      <c r="D507" s="112" t="s">
        <v>408</v>
      </c>
      <c r="E507" s="112" t="s">
        <v>139</v>
      </c>
      <c r="F507" s="112" t="s">
        <v>153</v>
      </c>
      <c r="G507" s="112" t="s">
        <v>412</v>
      </c>
      <c r="H507" s="129"/>
      <c r="I507" s="78">
        <f>I508+I509+I510</f>
        <v>21537.100000000002</v>
      </c>
      <c r="J507" s="78">
        <f>J508+J509+J510</f>
        <v>21537.100000000002</v>
      </c>
      <c r="K507" s="348">
        <f aca="true" t="shared" si="57" ref="K507:K574">J507-I507</f>
        <v>0</v>
      </c>
      <c r="L507" s="78">
        <f>L508+L509+L510</f>
        <v>18608.100000000002</v>
      </c>
      <c r="M507" s="78">
        <f>M508+M509+M510</f>
        <v>19732.800000000003</v>
      </c>
      <c r="N507" s="355"/>
      <c r="O507" s="355"/>
    </row>
    <row r="508" spans="1:15" ht="62.25" customHeight="1">
      <c r="A508" s="123" t="s">
        <v>755</v>
      </c>
      <c r="B508" s="347" t="s">
        <v>26</v>
      </c>
      <c r="C508" s="112" t="s">
        <v>53</v>
      </c>
      <c r="D508" s="112" t="s">
        <v>408</v>
      </c>
      <c r="E508" s="112" t="s">
        <v>139</v>
      </c>
      <c r="F508" s="112" t="s">
        <v>153</v>
      </c>
      <c r="G508" s="112" t="s">
        <v>412</v>
      </c>
      <c r="H508" s="129">
        <v>100</v>
      </c>
      <c r="I508" s="78">
        <v>20411</v>
      </c>
      <c r="J508" s="78">
        <v>20411</v>
      </c>
      <c r="K508" s="348">
        <f t="shared" si="57"/>
        <v>0</v>
      </c>
      <c r="L508" s="78">
        <v>17644</v>
      </c>
      <c r="M508" s="78">
        <v>18510</v>
      </c>
      <c r="N508" s="355"/>
      <c r="O508" s="355"/>
    </row>
    <row r="509" spans="1:13" s="355" customFormat="1" ht="28.5" customHeight="1">
      <c r="A509" s="123" t="s">
        <v>758</v>
      </c>
      <c r="B509" s="347" t="s">
        <v>26</v>
      </c>
      <c r="C509" s="112" t="s">
        <v>53</v>
      </c>
      <c r="D509" s="112" t="s">
        <v>408</v>
      </c>
      <c r="E509" s="112" t="s">
        <v>139</v>
      </c>
      <c r="F509" s="112" t="s">
        <v>153</v>
      </c>
      <c r="G509" s="112" t="s">
        <v>412</v>
      </c>
      <c r="H509" s="129">
        <v>200</v>
      </c>
      <c r="I509" s="78">
        <f>1180.2-100</f>
        <v>1080.2</v>
      </c>
      <c r="J509" s="78">
        <f>1180.2-100</f>
        <v>1080.2</v>
      </c>
      <c r="K509" s="348">
        <f t="shared" si="57"/>
        <v>0</v>
      </c>
      <c r="L509" s="78">
        <f>1013.2-100</f>
        <v>913.2</v>
      </c>
      <c r="M509" s="78">
        <f>1266.9-100</f>
        <v>1166.9</v>
      </c>
    </row>
    <row r="510" spans="1:15" s="355" customFormat="1" ht="23.25" customHeight="1">
      <c r="A510" s="123" t="s">
        <v>759</v>
      </c>
      <c r="B510" s="347" t="s">
        <v>26</v>
      </c>
      <c r="C510" s="112" t="s">
        <v>53</v>
      </c>
      <c r="D510" s="112" t="s">
        <v>408</v>
      </c>
      <c r="E510" s="112" t="s">
        <v>139</v>
      </c>
      <c r="F510" s="112" t="s">
        <v>153</v>
      </c>
      <c r="G510" s="112" t="s">
        <v>412</v>
      </c>
      <c r="H510" s="129">
        <v>800</v>
      </c>
      <c r="I510" s="78">
        <v>45.9</v>
      </c>
      <c r="J510" s="78">
        <v>45.9</v>
      </c>
      <c r="K510" s="348">
        <f t="shared" si="57"/>
        <v>0</v>
      </c>
      <c r="L510" s="78">
        <v>50.9</v>
      </c>
      <c r="M510" s="78">
        <v>55.9</v>
      </c>
      <c r="N510" s="327"/>
      <c r="O510" s="327"/>
    </row>
    <row r="511" spans="1:15" s="355" customFormat="1" ht="36" customHeight="1">
      <c r="A511" s="123" t="s">
        <v>416</v>
      </c>
      <c r="B511" s="347" t="s">
        <v>26</v>
      </c>
      <c r="C511" s="112" t="s">
        <v>53</v>
      </c>
      <c r="D511" s="112" t="s">
        <v>408</v>
      </c>
      <c r="E511" s="112" t="s">
        <v>139</v>
      </c>
      <c r="F511" s="112" t="s">
        <v>153</v>
      </c>
      <c r="G511" s="112" t="s">
        <v>417</v>
      </c>
      <c r="H511" s="129"/>
      <c r="I511" s="78">
        <f>I512</f>
        <v>2340.6</v>
      </c>
      <c r="J511" s="78">
        <f>J512</f>
        <v>2340.6</v>
      </c>
      <c r="K511" s="348">
        <f t="shared" si="57"/>
        <v>0</v>
      </c>
      <c r="L511" s="78">
        <f>L512</f>
        <v>0</v>
      </c>
      <c r="M511" s="78">
        <f>M512</f>
        <v>0</v>
      </c>
      <c r="N511" s="327"/>
      <c r="O511" s="327"/>
    </row>
    <row r="512" spans="1:13" ht="64.5" customHeight="1">
      <c r="A512" s="123" t="s">
        <v>755</v>
      </c>
      <c r="B512" s="347" t="s">
        <v>26</v>
      </c>
      <c r="C512" s="112" t="s">
        <v>53</v>
      </c>
      <c r="D512" s="112" t="s">
        <v>408</v>
      </c>
      <c r="E512" s="112" t="s">
        <v>139</v>
      </c>
      <c r="F512" s="112" t="s">
        <v>153</v>
      </c>
      <c r="G512" s="112" t="s">
        <v>417</v>
      </c>
      <c r="H512" s="129">
        <v>100</v>
      </c>
      <c r="I512" s="78">
        <v>2340.6</v>
      </c>
      <c r="J512" s="78">
        <v>2340.6</v>
      </c>
      <c r="K512" s="348">
        <f t="shared" si="57"/>
        <v>0</v>
      </c>
      <c r="L512" s="78"/>
      <c r="M512" s="78"/>
    </row>
    <row r="513" spans="1:13" ht="50.25" customHeight="1">
      <c r="A513" s="123" t="s">
        <v>1168</v>
      </c>
      <c r="B513" s="347" t="s">
        <v>26</v>
      </c>
      <c r="C513" s="112" t="s">
        <v>53</v>
      </c>
      <c r="D513" s="112" t="s">
        <v>408</v>
      </c>
      <c r="E513" s="112" t="s">
        <v>139</v>
      </c>
      <c r="F513" s="112" t="s">
        <v>153</v>
      </c>
      <c r="G513" s="112" t="s">
        <v>1169</v>
      </c>
      <c r="H513" s="129"/>
      <c r="I513" s="78">
        <f>I514</f>
        <v>1306</v>
      </c>
      <c r="J513" s="78">
        <f>J514</f>
        <v>1306</v>
      </c>
      <c r="K513" s="348">
        <f t="shared" si="57"/>
        <v>0</v>
      </c>
      <c r="L513" s="78">
        <f>L514</f>
        <v>0</v>
      </c>
      <c r="M513" s="78">
        <f>M514</f>
        <v>0</v>
      </c>
    </row>
    <row r="514" spans="1:13" ht="30.75" customHeight="1">
      <c r="A514" s="123" t="s">
        <v>758</v>
      </c>
      <c r="B514" s="347" t="s">
        <v>26</v>
      </c>
      <c r="C514" s="112" t="s">
        <v>53</v>
      </c>
      <c r="D514" s="112" t="s">
        <v>408</v>
      </c>
      <c r="E514" s="112" t="s">
        <v>139</v>
      </c>
      <c r="F514" s="112" t="s">
        <v>153</v>
      </c>
      <c r="G514" s="112" t="s">
        <v>1169</v>
      </c>
      <c r="H514" s="129">
        <v>200</v>
      </c>
      <c r="I514" s="78">
        <v>1306</v>
      </c>
      <c r="J514" s="78">
        <v>1306</v>
      </c>
      <c r="K514" s="348">
        <f t="shared" si="57"/>
        <v>0</v>
      </c>
      <c r="L514" s="78"/>
      <c r="M514" s="78"/>
    </row>
    <row r="515" spans="1:15" ht="43.5" customHeight="1" hidden="1">
      <c r="A515" s="123" t="s">
        <v>185</v>
      </c>
      <c r="B515" s="347" t="s">
        <v>26</v>
      </c>
      <c r="C515" s="112" t="s">
        <v>53</v>
      </c>
      <c r="D515" s="112" t="s">
        <v>408</v>
      </c>
      <c r="E515" s="112" t="s">
        <v>139</v>
      </c>
      <c r="F515" s="112" t="s">
        <v>153</v>
      </c>
      <c r="G515" s="112" t="s">
        <v>186</v>
      </c>
      <c r="H515" s="129"/>
      <c r="I515" s="78">
        <f>I516</f>
        <v>0</v>
      </c>
      <c r="J515" s="78">
        <f>J516</f>
        <v>0</v>
      </c>
      <c r="K515" s="348">
        <f t="shared" si="57"/>
        <v>0</v>
      </c>
      <c r="L515" s="78">
        <f>L516</f>
        <v>0</v>
      </c>
      <c r="M515" s="78">
        <f>M516</f>
        <v>0</v>
      </c>
      <c r="N515" s="355"/>
      <c r="O515" s="355"/>
    </row>
    <row r="516" spans="1:15" ht="33.75" customHeight="1" hidden="1">
      <c r="A516" s="123" t="s">
        <v>755</v>
      </c>
      <c r="B516" s="347" t="s">
        <v>26</v>
      </c>
      <c r="C516" s="112" t="s">
        <v>53</v>
      </c>
      <c r="D516" s="112" t="s">
        <v>408</v>
      </c>
      <c r="E516" s="112" t="s">
        <v>139</v>
      </c>
      <c r="F516" s="112" t="s">
        <v>153</v>
      </c>
      <c r="G516" s="112" t="s">
        <v>186</v>
      </c>
      <c r="H516" s="129">
        <v>100</v>
      </c>
      <c r="I516" s="78"/>
      <c r="J516" s="369"/>
      <c r="K516" s="348">
        <f t="shared" si="57"/>
        <v>0</v>
      </c>
      <c r="L516" s="78"/>
      <c r="M516" s="78"/>
      <c r="N516" s="355"/>
      <c r="O516" s="355"/>
    </row>
    <row r="517" spans="1:15" s="355" customFormat="1" ht="50.25" customHeight="1">
      <c r="A517" s="123" t="s">
        <v>514</v>
      </c>
      <c r="B517" s="352" t="s">
        <v>26</v>
      </c>
      <c r="C517" s="112" t="s">
        <v>53</v>
      </c>
      <c r="D517" s="112" t="s">
        <v>408</v>
      </c>
      <c r="E517" s="112" t="s">
        <v>139</v>
      </c>
      <c r="F517" s="112" t="s">
        <v>153</v>
      </c>
      <c r="G517" s="112" t="s">
        <v>433</v>
      </c>
      <c r="H517" s="143"/>
      <c r="I517" s="353">
        <f>I518+I519</f>
        <v>0</v>
      </c>
      <c r="J517" s="353">
        <f>J518+J519</f>
        <v>0</v>
      </c>
      <c r="K517" s="348">
        <f t="shared" si="57"/>
        <v>0</v>
      </c>
      <c r="L517" s="353">
        <f>L518+L519</f>
        <v>4269.6</v>
      </c>
      <c r="M517" s="353">
        <f>M518+M519</f>
        <v>4291.9</v>
      </c>
      <c r="N517" s="327"/>
      <c r="O517" s="327"/>
    </row>
    <row r="518" spans="1:15" s="355" customFormat="1" ht="66" customHeight="1">
      <c r="A518" s="123" t="s">
        <v>755</v>
      </c>
      <c r="B518" s="352" t="s">
        <v>26</v>
      </c>
      <c r="C518" s="112" t="s">
        <v>53</v>
      </c>
      <c r="D518" s="112" t="s">
        <v>408</v>
      </c>
      <c r="E518" s="112" t="s">
        <v>139</v>
      </c>
      <c r="F518" s="112" t="s">
        <v>153</v>
      </c>
      <c r="G518" s="112" t="s">
        <v>433</v>
      </c>
      <c r="H518" s="143">
        <v>100</v>
      </c>
      <c r="I518" s="353"/>
      <c r="J518" s="353"/>
      <c r="K518" s="348">
        <f t="shared" si="57"/>
        <v>0</v>
      </c>
      <c r="L518" s="78">
        <v>3957</v>
      </c>
      <c r="M518" s="78">
        <v>4120</v>
      </c>
      <c r="N518" s="327"/>
      <c r="O518" s="327"/>
    </row>
    <row r="519" spans="1:13" ht="33" customHeight="1">
      <c r="A519" s="123" t="s">
        <v>758</v>
      </c>
      <c r="B519" s="352" t="s">
        <v>26</v>
      </c>
      <c r="C519" s="112" t="s">
        <v>53</v>
      </c>
      <c r="D519" s="112" t="s">
        <v>408</v>
      </c>
      <c r="E519" s="112" t="s">
        <v>139</v>
      </c>
      <c r="F519" s="112" t="s">
        <v>153</v>
      </c>
      <c r="G519" s="112" t="s">
        <v>433</v>
      </c>
      <c r="H519" s="143">
        <v>200</v>
      </c>
      <c r="I519" s="353"/>
      <c r="J519" s="353"/>
      <c r="K519" s="348">
        <f t="shared" si="57"/>
        <v>0</v>
      </c>
      <c r="L519" s="78">
        <v>312.6</v>
      </c>
      <c r="M519" s="78">
        <v>171.9</v>
      </c>
    </row>
    <row r="520" spans="1:13" ht="18" customHeight="1">
      <c r="A520" s="137" t="s">
        <v>448</v>
      </c>
      <c r="B520" s="358" t="s">
        <v>26</v>
      </c>
      <c r="C520" s="107" t="s">
        <v>55</v>
      </c>
      <c r="D520" s="359"/>
      <c r="E520" s="359"/>
      <c r="F520" s="359"/>
      <c r="G520" s="359"/>
      <c r="H520" s="153"/>
      <c r="I520" s="88">
        <f aca="true" t="shared" si="58" ref="I520:M522">I521</f>
        <v>8347.500000000002</v>
      </c>
      <c r="J520" s="88">
        <f t="shared" si="58"/>
        <v>8347.500000000002</v>
      </c>
      <c r="K520" s="344">
        <f t="shared" si="57"/>
        <v>0</v>
      </c>
      <c r="L520" s="88">
        <f t="shared" si="58"/>
        <v>25000</v>
      </c>
      <c r="M520" s="88">
        <f t="shared" si="58"/>
        <v>25000</v>
      </c>
    </row>
    <row r="521" spans="1:13" ht="18" customHeight="1">
      <c r="A521" s="139" t="s">
        <v>441</v>
      </c>
      <c r="B521" s="343" t="s">
        <v>26</v>
      </c>
      <c r="C521" s="107" t="s">
        <v>55</v>
      </c>
      <c r="D521" s="107" t="s">
        <v>442</v>
      </c>
      <c r="E521" s="107" t="s">
        <v>154</v>
      </c>
      <c r="F521" s="107" t="s">
        <v>155</v>
      </c>
      <c r="G521" s="107" t="s">
        <v>156</v>
      </c>
      <c r="H521" s="105"/>
      <c r="I521" s="37">
        <f t="shared" si="58"/>
        <v>8347.500000000002</v>
      </c>
      <c r="J521" s="37">
        <f t="shared" si="58"/>
        <v>8347.500000000002</v>
      </c>
      <c r="K521" s="344">
        <f t="shared" si="57"/>
        <v>0</v>
      </c>
      <c r="L521" s="37">
        <f t="shared" si="58"/>
        <v>25000</v>
      </c>
      <c r="M521" s="37">
        <f t="shared" si="58"/>
        <v>25000</v>
      </c>
    </row>
    <row r="522" spans="1:15" ht="21" customHeight="1">
      <c r="A522" s="136" t="s">
        <v>410</v>
      </c>
      <c r="B522" s="343" t="s">
        <v>26</v>
      </c>
      <c r="C522" s="107" t="s">
        <v>55</v>
      </c>
      <c r="D522" s="71" t="s">
        <v>442</v>
      </c>
      <c r="E522" s="71" t="s">
        <v>338</v>
      </c>
      <c r="F522" s="71" t="s">
        <v>155</v>
      </c>
      <c r="G522" s="71" t="s">
        <v>156</v>
      </c>
      <c r="H522" s="71"/>
      <c r="I522" s="37">
        <f t="shared" si="58"/>
        <v>8347.500000000002</v>
      </c>
      <c r="J522" s="37">
        <f t="shared" si="58"/>
        <v>8347.500000000002</v>
      </c>
      <c r="K522" s="344">
        <f t="shared" si="57"/>
        <v>0</v>
      </c>
      <c r="L522" s="37">
        <f t="shared" si="58"/>
        <v>25000</v>
      </c>
      <c r="M522" s="37">
        <f t="shared" si="58"/>
        <v>25000</v>
      </c>
      <c r="N522" s="194"/>
      <c r="O522" s="194"/>
    </row>
    <row r="523" spans="1:15" s="355" customFormat="1" ht="20.25" customHeight="1">
      <c r="A523" s="137" t="s">
        <v>410</v>
      </c>
      <c r="B523" s="343" t="s">
        <v>26</v>
      </c>
      <c r="C523" s="107" t="s">
        <v>55</v>
      </c>
      <c r="D523" s="107" t="s">
        <v>442</v>
      </c>
      <c r="E523" s="107" t="s">
        <v>338</v>
      </c>
      <c r="F523" s="107" t="s">
        <v>153</v>
      </c>
      <c r="G523" s="107" t="s">
        <v>156</v>
      </c>
      <c r="H523" s="105"/>
      <c r="I523" s="37">
        <f aca="true" t="shared" si="59" ref="I523:M524">I524</f>
        <v>8347.500000000002</v>
      </c>
      <c r="J523" s="37">
        <f t="shared" si="59"/>
        <v>8347.500000000002</v>
      </c>
      <c r="K523" s="344">
        <f t="shared" si="57"/>
        <v>0</v>
      </c>
      <c r="L523" s="37">
        <f t="shared" si="59"/>
        <v>25000</v>
      </c>
      <c r="M523" s="37">
        <f t="shared" si="59"/>
        <v>25000</v>
      </c>
      <c r="N523" s="350"/>
      <c r="O523" s="350"/>
    </row>
    <row r="524" spans="1:15" s="194" customFormat="1" ht="18" customHeight="1">
      <c r="A524" s="123" t="s">
        <v>446</v>
      </c>
      <c r="B524" s="347" t="s">
        <v>26</v>
      </c>
      <c r="C524" s="112" t="s">
        <v>55</v>
      </c>
      <c r="D524" s="112" t="s">
        <v>442</v>
      </c>
      <c r="E524" s="112" t="s">
        <v>338</v>
      </c>
      <c r="F524" s="112" t="s">
        <v>153</v>
      </c>
      <c r="G524" s="112" t="s">
        <v>447</v>
      </c>
      <c r="H524" s="129"/>
      <c r="I524" s="78">
        <f t="shared" si="59"/>
        <v>8347.500000000002</v>
      </c>
      <c r="J524" s="78">
        <f t="shared" si="59"/>
        <v>8347.500000000002</v>
      </c>
      <c r="K524" s="348">
        <f t="shared" si="57"/>
        <v>0</v>
      </c>
      <c r="L524" s="78">
        <f t="shared" si="59"/>
        <v>25000</v>
      </c>
      <c r="M524" s="78">
        <f>M525</f>
        <v>25000</v>
      </c>
      <c r="N524" s="350"/>
      <c r="O524" s="350"/>
    </row>
    <row r="525" spans="1:15" s="350" customFormat="1" ht="19.5" customHeight="1">
      <c r="A525" s="123" t="s">
        <v>759</v>
      </c>
      <c r="B525" s="347" t="s">
        <v>26</v>
      </c>
      <c r="C525" s="112" t="s">
        <v>55</v>
      </c>
      <c r="D525" s="112" t="s">
        <v>442</v>
      </c>
      <c r="E525" s="112" t="s">
        <v>338</v>
      </c>
      <c r="F525" s="112" t="s">
        <v>153</v>
      </c>
      <c r="G525" s="112" t="s">
        <v>447</v>
      </c>
      <c r="H525" s="129">
        <v>800</v>
      </c>
      <c r="I525" s="78">
        <f>25000-320-495+495-4600-334.6-11397.9</f>
        <v>8347.500000000002</v>
      </c>
      <c r="J525" s="78">
        <f>25000-320-495+495-4600-334.6-11397.9</f>
        <v>8347.500000000002</v>
      </c>
      <c r="K525" s="348">
        <f t="shared" si="57"/>
        <v>0</v>
      </c>
      <c r="L525" s="78">
        <v>25000</v>
      </c>
      <c r="M525" s="78">
        <v>25000</v>
      </c>
      <c r="N525" s="194"/>
      <c r="O525" s="194"/>
    </row>
    <row r="526" spans="1:15" s="350" customFormat="1" ht="18.75" customHeight="1">
      <c r="A526" s="139" t="s">
        <v>56</v>
      </c>
      <c r="B526" s="343" t="s">
        <v>26</v>
      </c>
      <c r="C526" s="107" t="s">
        <v>57</v>
      </c>
      <c r="D526" s="71"/>
      <c r="E526" s="71"/>
      <c r="F526" s="71"/>
      <c r="G526" s="71"/>
      <c r="H526" s="366"/>
      <c r="I526" s="37">
        <f>I527+I532</f>
        <v>85</v>
      </c>
      <c r="J526" s="37">
        <f>J527+J532</f>
        <v>85</v>
      </c>
      <c r="K526" s="344">
        <f t="shared" si="57"/>
        <v>0</v>
      </c>
      <c r="L526" s="37">
        <f>L527+L532</f>
        <v>100</v>
      </c>
      <c r="M526" s="37">
        <f>M527+M532</f>
        <v>110</v>
      </c>
      <c r="N526" s="327"/>
      <c r="O526" s="327"/>
    </row>
    <row r="527" spans="1:15" s="194" customFormat="1" ht="48.75" customHeight="1">
      <c r="A527" s="370" t="s">
        <v>340</v>
      </c>
      <c r="B527" s="343" t="s">
        <v>26</v>
      </c>
      <c r="C527" s="107" t="s">
        <v>57</v>
      </c>
      <c r="D527" s="71" t="s">
        <v>309</v>
      </c>
      <c r="E527" s="71" t="s">
        <v>154</v>
      </c>
      <c r="F527" s="71" t="s">
        <v>155</v>
      </c>
      <c r="G527" s="71" t="s">
        <v>156</v>
      </c>
      <c r="H527" s="71"/>
      <c r="I527" s="37">
        <f aca="true" t="shared" si="60" ref="I527:M530">I528</f>
        <v>85</v>
      </c>
      <c r="J527" s="37">
        <f t="shared" si="60"/>
        <v>85</v>
      </c>
      <c r="K527" s="344">
        <f t="shared" si="57"/>
        <v>0</v>
      </c>
      <c r="L527" s="37">
        <f t="shared" si="60"/>
        <v>100</v>
      </c>
      <c r="M527" s="37">
        <f t="shared" si="60"/>
        <v>110</v>
      </c>
      <c r="N527" s="327"/>
      <c r="O527" s="327"/>
    </row>
    <row r="528" spans="1:13" ht="34.5" customHeight="1">
      <c r="A528" s="136" t="s">
        <v>912</v>
      </c>
      <c r="B528" s="343" t="s">
        <v>26</v>
      </c>
      <c r="C528" s="107" t="s">
        <v>57</v>
      </c>
      <c r="D528" s="71" t="s">
        <v>309</v>
      </c>
      <c r="E528" s="71" t="s">
        <v>139</v>
      </c>
      <c r="F528" s="71" t="s">
        <v>155</v>
      </c>
      <c r="G528" s="71" t="s">
        <v>156</v>
      </c>
      <c r="H528" s="71"/>
      <c r="I528" s="37">
        <f t="shared" si="60"/>
        <v>85</v>
      </c>
      <c r="J528" s="37">
        <f t="shared" si="60"/>
        <v>85</v>
      </c>
      <c r="K528" s="344">
        <f t="shared" si="57"/>
        <v>0</v>
      </c>
      <c r="L528" s="37">
        <f t="shared" si="60"/>
        <v>100</v>
      </c>
      <c r="M528" s="37">
        <f t="shared" si="60"/>
        <v>110</v>
      </c>
    </row>
    <row r="529" spans="1:13" s="355" customFormat="1" ht="36" customHeight="1">
      <c r="A529" s="136" t="s">
        <v>913</v>
      </c>
      <c r="B529" s="343" t="s">
        <v>26</v>
      </c>
      <c r="C529" s="107" t="s">
        <v>57</v>
      </c>
      <c r="D529" s="71" t="s">
        <v>309</v>
      </c>
      <c r="E529" s="71" t="s">
        <v>139</v>
      </c>
      <c r="F529" s="71" t="s">
        <v>153</v>
      </c>
      <c r="G529" s="71" t="s">
        <v>156</v>
      </c>
      <c r="H529" s="71"/>
      <c r="I529" s="37">
        <f t="shared" si="60"/>
        <v>85</v>
      </c>
      <c r="J529" s="37">
        <f t="shared" si="60"/>
        <v>85</v>
      </c>
      <c r="K529" s="344">
        <f t="shared" si="57"/>
        <v>0</v>
      </c>
      <c r="L529" s="37">
        <f t="shared" si="60"/>
        <v>100</v>
      </c>
      <c r="M529" s="37">
        <f t="shared" si="60"/>
        <v>110</v>
      </c>
    </row>
    <row r="530" spans="1:13" ht="34.5" customHeight="1">
      <c r="A530" s="127" t="s">
        <v>914</v>
      </c>
      <c r="B530" s="347" t="s">
        <v>26</v>
      </c>
      <c r="C530" s="112" t="s">
        <v>57</v>
      </c>
      <c r="D530" s="111" t="s">
        <v>309</v>
      </c>
      <c r="E530" s="111" t="s">
        <v>139</v>
      </c>
      <c r="F530" s="111" t="s">
        <v>153</v>
      </c>
      <c r="G530" s="111" t="s">
        <v>351</v>
      </c>
      <c r="H530" s="111"/>
      <c r="I530" s="78">
        <f t="shared" si="60"/>
        <v>85</v>
      </c>
      <c r="J530" s="78">
        <f t="shared" si="60"/>
        <v>85</v>
      </c>
      <c r="K530" s="348">
        <f t="shared" si="57"/>
        <v>0</v>
      </c>
      <c r="L530" s="78">
        <f t="shared" si="60"/>
        <v>100</v>
      </c>
      <c r="M530" s="78">
        <f t="shared" si="60"/>
        <v>110</v>
      </c>
    </row>
    <row r="531" spans="1:13" ht="31.5" customHeight="1">
      <c r="A531" s="123" t="s">
        <v>758</v>
      </c>
      <c r="B531" s="347" t="s">
        <v>26</v>
      </c>
      <c r="C531" s="112" t="s">
        <v>57</v>
      </c>
      <c r="D531" s="111" t="s">
        <v>309</v>
      </c>
      <c r="E531" s="111" t="s">
        <v>139</v>
      </c>
      <c r="F531" s="111" t="s">
        <v>153</v>
      </c>
      <c r="G531" s="111" t="s">
        <v>351</v>
      </c>
      <c r="H531" s="111" t="s">
        <v>757</v>
      </c>
      <c r="I531" s="78">
        <v>85</v>
      </c>
      <c r="J531" s="78">
        <v>85</v>
      </c>
      <c r="K531" s="348">
        <f t="shared" si="57"/>
        <v>0</v>
      </c>
      <c r="L531" s="78">
        <v>100</v>
      </c>
      <c r="M531" s="78">
        <v>110</v>
      </c>
    </row>
    <row r="532" spans="1:13" ht="19.5" customHeight="1" hidden="1">
      <c r="A532" s="139" t="s">
        <v>441</v>
      </c>
      <c r="B532" s="343">
        <v>111</v>
      </c>
      <c r="C532" s="107" t="s">
        <v>57</v>
      </c>
      <c r="D532" s="71" t="s">
        <v>442</v>
      </c>
      <c r="E532" s="71" t="s">
        <v>154</v>
      </c>
      <c r="F532" s="71" t="s">
        <v>155</v>
      </c>
      <c r="G532" s="71" t="s">
        <v>156</v>
      </c>
      <c r="H532" s="71"/>
      <c r="I532" s="37">
        <f aca="true" t="shared" si="61" ref="I532:M533">I533</f>
        <v>0</v>
      </c>
      <c r="J532" s="37">
        <f t="shared" si="61"/>
        <v>0</v>
      </c>
      <c r="K532" s="344">
        <f t="shared" si="57"/>
        <v>0</v>
      </c>
      <c r="L532" s="37">
        <f t="shared" si="61"/>
        <v>0</v>
      </c>
      <c r="M532" s="37">
        <f t="shared" si="61"/>
        <v>0</v>
      </c>
    </row>
    <row r="533" spans="1:13" ht="18" customHeight="1" hidden="1">
      <c r="A533" s="137" t="s">
        <v>410</v>
      </c>
      <c r="B533" s="343">
        <v>111</v>
      </c>
      <c r="C533" s="107" t="s">
        <v>57</v>
      </c>
      <c r="D533" s="71" t="s">
        <v>442</v>
      </c>
      <c r="E533" s="71" t="s">
        <v>338</v>
      </c>
      <c r="F533" s="71" t="s">
        <v>155</v>
      </c>
      <c r="G533" s="71" t="s">
        <v>156</v>
      </c>
      <c r="H533" s="71"/>
      <c r="I533" s="37">
        <f t="shared" si="61"/>
        <v>0</v>
      </c>
      <c r="J533" s="37">
        <f t="shared" si="61"/>
        <v>0</v>
      </c>
      <c r="K533" s="344">
        <f t="shared" si="57"/>
        <v>0</v>
      </c>
      <c r="L533" s="37">
        <f t="shared" si="61"/>
        <v>0</v>
      </c>
      <c r="M533" s="37">
        <f t="shared" si="61"/>
        <v>0</v>
      </c>
    </row>
    <row r="534" spans="1:13" s="355" customFormat="1" ht="18" customHeight="1" hidden="1">
      <c r="A534" s="137" t="s">
        <v>410</v>
      </c>
      <c r="B534" s="343">
        <v>111</v>
      </c>
      <c r="C534" s="107" t="s">
        <v>57</v>
      </c>
      <c r="D534" s="71" t="s">
        <v>442</v>
      </c>
      <c r="E534" s="71" t="s">
        <v>338</v>
      </c>
      <c r="F534" s="71" t="s">
        <v>153</v>
      </c>
      <c r="G534" s="71" t="s">
        <v>156</v>
      </c>
      <c r="H534" s="71"/>
      <c r="I534" s="37">
        <f>I535+I537+I539</f>
        <v>0</v>
      </c>
      <c r="J534" s="37">
        <f>J535+J537+J539</f>
        <v>0</v>
      </c>
      <c r="K534" s="344">
        <f t="shared" si="57"/>
        <v>0</v>
      </c>
      <c r="L534" s="37">
        <f>L535+L537+L539</f>
        <v>0</v>
      </c>
      <c r="M534" s="37">
        <f>M535+M537+M539</f>
        <v>0</v>
      </c>
    </row>
    <row r="535" spans="1:13" ht="47.25" customHeight="1" hidden="1">
      <c r="A535" s="121" t="s">
        <v>210</v>
      </c>
      <c r="B535" s="347">
        <v>111</v>
      </c>
      <c r="C535" s="112" t="s">
        <v>57</v>
      </c>
      <c r="D535" s="111" t="s">
        <v>442</v>
      </c>
      <c r="E535" s="111" t="s">
        <v>338</v>
      </c>
      <c r="F535" s="111" t="s">
        <v>153</v>
      </c>
      <c r="G535" s="111" t="s">
        <v>211</v>
      </c>
      <c r="H535" s="111"/>
      <c r="I535" s="78">
        <f>I536</f>
        <v>0</v>
      </c>
      <c r="J535" s="78">
        <f>J536</f>
        <v>0</v>
      </c>
      <c r="K535" s="348">
        <f t="shared" si="57"/>
        <v>0</v>
      </c>
      <c r="L535" s="78">
        <f>L536</f>
        <v>0</v>
      </c>
      <c r="M535" s="78">
        <f>M536</f>
        <v>0</v>
      </c>
    </row>
    <row r="536" spans="1:13" ht="18" customHeight="1" hidden="1">
      <c r="A536" s="124" t="s">
        <v>765</v>
      </c>
      <c r="B536" s="347">
        <v>111</v>
      </c>
      <c r="C536" s="112" t="s">
        <v>57</v>
      </c>
      <c r="D536" s="111" t="s">
        <v>442</v>
      </c>
      <c r="E536" s="111" t="s">
        <v>338</v>
      </c>
      <c r="F536" s="111" t="s">
        <v>153</v>
      </c>
      <c r="G536" s="111" t="s">
        <v>211</v>
      </c>
      <c r="H536" s="111" t="s">
        <v>766</v>
      </c>
      <c r="I536" s="78"/>
      <c r="J536" s="331"/>
      <c r="K536" s="348">
        <f t="shared" si="57"/>
        <v>0</v>
      </c>
      <c r="L536" s="78"/>
      <c r="M536" s="78"/>
    </row>
    <row r="537" spans="1:13" ht="33" customHeight="1" hidden="1">
      <c r="A537" s="123" t="s">
        <v>483</v>
      </c>
      <c r="B537" s="347">
        <v>111</v>
      </c>
      <c r="C537" s="112" t="s">
        <v>57</v>
      </c>
      <c r="D537" s="111" t="s">
        <v>442</v>
      </c>
      <c r="E537" s="111" t="s">
        <v>338</v>
      </c>
      <c r="F537" s="111" t="s">
        <v>153</v>
      </c>
      <c r="G537" s="111" t="s">
        <v>484</v>
      </c>
      <c r="H537" s="111"/>
      <c r="I537" s="78">
        <f>I538</f>
        <v>0</v>
      </c>
      <c r="J537" s="78">
        <f>J538</f>
        <v>0</v>
      </c>
      <c r="K537" s="348">
        <f t="shared" si="57"/>
        <v>0</v>
      </c>
      <c r="L537" s="78">
        <f>L538</f>
        <v>0</v>
      </c>
      <c r="M537" s="78">
        <f>M538</f>
        <v>0</v>
      </c>
    </row>
    <row r="538" spans="1:13" ht="20.25" customHeight="1" hidden="1">
      <c r="A538" s="124" t="s">
        <v>765</v>
      </c>
      <c r="B538" s="347">
        <v>111</v>
      </c>
      <c r="C538" s="112" t="s">
        <v>57</v>
      </c>
      <c r="D538" s="111" t="s">
        <v>442</v>
      </c>
      <c r="E538" s="111" t="s">
        <v>338</v>
      </c>
      <c r="F538" s="111" t="s">
        <v>153</v>
      </c>
      <c r="G538" s="111" t="s">
        <v>484</v>
      </c>
      <c r="H538" s="111" t="s">
        <v>766</v>
      </c>
      <c r="I538" s="78"/>
      <c r="J538" s="331"/>
      <c r="K538" s="348">
        <f t="shared" si="57"/>
        <v>0</v>
      </c>
      <c r="L538" s="78"/>
      <c r="M538" s="78"/>
    </row>
    <row r="539" spans="1:13" ht="20.25" customHeight="1" hidden="1">
      <c r="A539" s="123" t="s">
        <v>463</v>
      </c>
      <c r="B539" s="347">
        <v>111</v>
      </c>
      <c r="C539" s="112" t="s">
        <v>57</v>
      </c>
      <c r="D539" s="111" t="s">
        <v>442</v>
      </c>
      <c r="E539" s="111" t="s">
        <v>338</v>
      </c>
      <c r="F539" s="111" t="s">
        <v>153</v>
      </c>
      <c r="G539" s="111" t="s">
        <v>464</v>
      </c>
      <c r="H539" s="111"/>
      <c r="I539" s="78">
        <f>I540</f>
        <v>0</v>
      </c>
      <c r="J539" s="78">
        <f>J540</f>
        <v>0</v>
      </c>
      <c r="K539" s="348">
        <f t="shared" si="57"/>
        <v>0</v>
      </c>
      <c r="L539" s="78">
        <f>L540</f>
        <v>0</v>
      </c>
      <c r="M539" s="78">
        <f>M540</f>
        <v>0</v>
      </c>
    </row>
    <row r="540" spans="1:13" ht="21.75" customHeight="1" hidden="1">
      <c r="A540" s="123" t="s">
        <v>759</v>
      </c>
      <c r="B540" s="347">
        <v>111</v>
      </c>
      <c r="C540" s="112" t="s">
        <v>57</v>
      </c>
      <c r="D540" s="111" t="s">
        <v>442</v>
      </c>
      <c r="E540" s="111" t="s">
        <v>338</v>
      </c>
      <c r="F540" s="111" t="s">
        <v>153</v>
      </c>
      <c r="G540" s="111" t="s">
        <v>464</v>
      </c>
      <c r="H540" s="111" t="s">
        <v>760</v>
      </c>
      <c r="I540" s="78"/>
      <c r="J540" s="331"/>
      <c r="K540" s="348">
        <f t="shared" si="57"/>
        <v>0</v>
      </c>
      <c r="L540" s="78"/>
      <c r="M540" s="78"/>
    </row>
    <row r="541" spans="1:13" ht="24" customHeight="1">
      <c r="A541" s="139" t="s">
        <v>58</v>
      </c>
      <c r="B541" s="343" t="s">
        <v>26</v>
      </c>
      <c r="C541" s="107" t="s">
        <v>59</v>
      </c>
      <c r="D541" s="71"/>
      <c r="E541" s="71"/>
      <c r="F541" s="71"/>
      <c r="G541" s="71"/>
      <c r="H541" s="71"/>
      <c r="I541" s="37">
        <f>I542</f>
        <v>397.9</v>
      </c>
      <c r="J541" s="37">
        <f>J542</f>
        <v>397.9</v>
      </c>
      <c r="K541" s="344">
        <f t="shared" si="57"/>
        <v>0</v>
      </c>
      <c r="L541" s="37">
        <f>L542</f>
        <v>424.7</v>
      </c>
      <c r="M541" s="37">
        <f>M542</f>
        <v>450.20000000000005</v>
      </c>
    </row>
    <row r="542" spans="1:13" ht="35.25" customHeight="1">
      <c r="A542" s="139" t="s">
        <v>60</v>
      </c>
      <c r="B542" s="343" t="s">
        <v>26</v>
      </c>
      <c r="C542" s="107" t="s">
        <v>61</v>
      </c>
      <c r="D542" s="71"/>
      <c r="E542" s="71"/>
      <c r="F542" s="71"/>
      <c r="G542" s="71"/>
      <c r="H542" s="71"/>
      <c r="I542" s="37">
        <f>I543+I551</f>
        <v>397.9</v>
      </c>
      <c r="J542" s="37">
        <f>J543+J551</f>
        <v>397.9</v>
      </c>
      <c r="K542" s="344">
        <f t="shared" si="57"/>
        <v>0</v>
      </c>
      <c r="L542" s="37">
        <f>L543+L551</f>
        <v>424.7</v>
      </c>
      <c r="M542" s="37">
        <f>M543+M551</f>
        <v>450.20000000000005</v>
      </c>
    </row>
    <row r="543" spans="1:13" ht="36" customHeight="1">
      <c r="A543" s="139" t="s">
        <v>145</v>
      </c>
      <c r="B543" s="343" t="s">
        <v>26</v>
      </c>
      <c r="C543" s="107" t="s">
        <v>61</v>
      </c>
      <c r="D543" s="71" t="s">
        <v>350</v>
      </c>
      <c r="E543" s="71" t="s">
        <v>154</v>
      </c>
      <c r="F543" s="71" t="s">
        <v>155</v>
      </c>
      <c r="G543" s="71" t="s">
        <v>156</v>
      </c>
      <c r="H543" s="71"/>
      <c r="I543" s="37">
        <f>I544</f>
        <v>397.9</v>
      </c>
      <c r="J543" s="37">
        <f>J544</f>
        <v>397.9</v>
      </c>
      <c r="K543" s="344">
        <f t="shared" si="57"/>
        <v>0</v>
      </c>
      <c r="L543" s="37">
        <f>L544</f>
        <v>424.7</v>
      </c>
      <c r="M543" s="37">
        <f>M544</f>
        <v>450.20000000000005</v>
      </c>
    </row>
    <row r="544" spans="1:13" ht="61.5" customHeight="1">
      <c r="A544" s="136" t="s">
        <v>910</v>
      </c>
      <c r="B544" s="343" t="s">
        <v>26</v>
      </c>
      <c r="C544" s="107" t="s">
        <v>61</v>
      </c>
      <c r="D544" s="71" t="s">
        <v>350</v>
      </c>
      <c r="E544" s="71" t="s">
        <v>137</v>
      </c>
      <c r="F544" s="71" t="s">
        <v>155</v>
      </c>
      <c r="G544" s="71" t="s">
        <v>156</v>
      </c>
      <c r="H544" s="71"/>
      <c r="I544" s="37">
        <f>I545+I548</f>
        <v>397.9</v>
      </c>
      <c r="J544" s="37">
        <f>J545+J548</f>
        <v>397.9</v>
      </c>
      <c r="K544" s="344">
        <f t="shared" si="57"/>
        <v>0</v>
      </c>
      <c r="L544" s="37">
        <f>L545+L548</f>
        <v>424.7</v>
      </c>
      <c r="M544" s="37">
        <f>M545+M548</f>
        <v>450.20000000000005</v>
      </c>
    </row>
    <row r="545" spans="1:13" s="355" customFormat="1" ht="32.25" customHeight="1">
      <c r="A545" s="136" t="s">
        <v>369</v>
      </c>
      <c r="B545" s="343" t="s">
        <v>26</v>
      </c>
      <c r="C545" s="107" t="s">
        <v>61</v>
      </c>
      <c r="D545" s="71" t="s">
        <v>350</v>
      </c>
      <c r="E545" s="71" t="s">
        <v>137</v>
      </c>
      <c r="F545" s="71" t="s">
        <v>180</v>
      </c>
      <c r="G545" s="71" t="s">
        <v>156</v>
      </c>
      <c r="H545" s="71"/>
      <c r="I545" s="37">
        <f aca="true" t="shared" si="62" ref="I545:M546">I546</f>
        <v>198.9</v>
      </c>
      <c r="J545" s="37">
        <f t="shared" si="62"/>
        <v>198.9</v>
      </c>
      <c r="K545" s="344">
        <f t="shared" si="57"/>
        <v>0</v>
      </c>
      <c r="L545" s="37">
        <f t="shared" si="62"/>
        <v>212.2</v>
      </c>
      <c r="M545" s="37">
        <f t="shared" si="62"/>
        <v>224.9</v>
      </c>
    </row>
    <row r="546" spans="1:15" ht="31.5" customHeight="1">
      <c r="A546" s="127" t="s">
        <v>146</v>
      </c>
      <c r="B546" s="347" t="s">
        <v>26</v>
      </c>
      <c r="C546" s="112" t="s">
        <v>61</v>
      </c>
      <c r="D546" s="111" t="s">
        <v>350</v>
      </c>
      <c r="E546" s="111" t="s">
        <v>137</v>
      </c>
      <c r="F546" s="111" t="s">
        <v>180</v>
      </c>
      <c r="G546" s="111" t="s">
        <v>376</v>
      </c>
      <c r="H546" s="111"/>
      <c r="I546" s="78">
        <f t="shared" si="62"/>
        <v>198.9</v>
      </c>
      <c r="J546" s="78">
        <f t="shared" si="62"/>
        <v>198.9</v>
      </c>
      <c r="K546" s="348">
        <f t="shared" si="57"/>
        <v>0</v>
      </c>
      <c r="L546" s="78">
        <f t="shared" si="62"/>
        <v>212.2</v>
      </c>
      <c r="M546" s="78">
        <f t="shared" si="62"/>
        <v>224.9</v>
      </c>
      <c r="N546" s="355"/>
      <c r="O546" s="355"/>
    </row>
    <row r="547" spans="1:15" ht="18" customHeight="1">
      <c r="A547" s="127" t="s">
        <v>765</v>
      </c>
      <c r="B547" s="347" t="s">
        <v>26</v>
      </c>
      <c r="C547" s="112" t="s">
        <v>61</v>
      </c>
      <c r="D547" s="111" t="s">
        <v>350</v>
      </c>
      <c r="E547" s="111" t="s">
        <v>137</v>
      </c>
      <c r="F547" s="111" t="s">
        <v>180</v>
      </c>
      <c r="G547" s="111" t="s">
        <v>376</v>
      </c>
      <c r="H547" s="111" t="s">
        <v>766</v>
      </c>
      <c r="I547" s="78">
        <v>198.9</v>
      </c>
      <c r="J547" s="78">
        <v>198.9</v>
      </c>
      <c r="K547" s="348">
        <f t="shared" si="57"/>
        <v>0</v>
      </c>
      <c r="L547" s="78">
        <v>212.2</v>
      </c>
      <c r="M547" s="78">
        <v>224.9</v>
      </c>
      <c r="N547" s="355"/>
      <c r="O547" s="355"/>
    </row>
    <row r="548" spans="1:13" s="355" customFormat="1" ht="19.5" customHeight="1">
      <c r="A548" s="136" t="s">
        <v>377</v>
      </c>
      <c r="B548" s="343" t="s">
        <v>26</v>
      </c>
      <c r="C548" s="107" t="s">
        <v>61</v>
      </c>
      <c r="D548" s="71" t="s">
        <v>350</v>
      </c>
      <c r="E548" s="71" t="s">
        <v>137</v>
      </c>
      <c r="F548" s="71" t="s">
        <v>193</v>
      </c>
      <c r="G548" s="71" t="s">
        <v>156</v>
      </c>
      <c r="H548" s="71"/>
      <c r="I548" s="37">
        <f aca="true" t="shared" si="63" ref="I548:M549">I549</f>
        <v>199</v>
      </c>
      <c r="J548" s="37">
        <f t="shared" si="63"/>
        <v>199</v>
      </c>
      <c r="K548" s="344">
        <f t="shared" si="57"/>
        <v>0</v>
      </c>
      <c r="L548" s="37">
        <f t="shared" si="63"/>
        <v>212.5</v>
      </c>
      <c r="M548" s="37">
        <f t="shared" si="63"/>
        <v>225.3</v>
      </c>
    </row>
    <row r="549" spans="1:15" s="355" customFormat="1" ht="34.5" customHeight="1">
      <c r="A549" s="127" t="s">
        <v>147</v>
      </c>
      <c r="B549" s="347" t="s">
        <v>26</v>
      </c>
      <c r="C549" s="112" t="s">
        <v>61</v>
      </c>
      <c r="D549" s="111" t="s">
        <v>350</v>
      </c>
      <c r="E549" s="111" t="s">
        <v>137</v>
      </c>
      <c r="F549" s="111" t="s">
        <v>193</v>
      </c>
      <c r="G549" s="111" t="s">
        <v>378</v>
      </c>
      <c r="H549" s="111"/>
      <c r="I549" s="78">
        <f t="shared" si="63"/>
        <v>199</v>
      </c>
      <c r="J549" s="78">
        <f t="shared" si="63"/>
        <v>199</v>
      </c>
      <c r="K549" s="348">
        <f t="shared" si="57"/>
        <v>0</v>
      </c>
      <c r="L549" s="78">
        <f t="shared" si="63"/>
        <v>212.5</v>
      </c>
      <c r="M549" s="78">
        <f t="shared" si="63"/>
        <v>225.3</v>
      </c>
      <c r="N549" s="327"/>
      <c r="O549" s="327"/>
    </row>
    <row r="550" spans="1:15" s="355" customFormat="1" ht="18" customHeight="1">
      <c r="A550" s="121" t="s">
        <v>765</v>
      </c>
      <c r="B550" s="347" t="s">
        <v>26</v>
      </c>
      <c r="C550" s="112" t="s">
        <v>61</v>
      </c>
      <c r="D550" s="111" t="s">
        <v>350</v>
      </c>
      <c r="E550" s="111" t="s">
        <v>137</v>
      </c>
      <c r="F550" s="111" t="s">
        <v>193</v>
      </c>
      <c r="G550" s="111" t="s">
        <v>378</v>
      </c>
      <c r="H550" s="111" t="s">
        <v>766</v>
      </c>
      <c r="I550" s="78">
        <v>199</v>
      </c>
      <c r="J550" s="78">
        <v>199</v>
      </c>
      <c r="K550" s="348">
        <f t="shared" si="57"/>
        <v>0</v>
      </c>
      <c r="L550" s="78">
        <v>212.5</v>
      </c>
      <c r="M550" s="78">
        <v>225.3</v>
      </c>
      <c r="N550" s="327"/>
      <c r="O550" s="327"/>
    </row>
    <row r="551" spans="1:15" s="355" customFormat="1" ht="21" customHeight="1" hidden="1">
      <c r="A551" s="139" t="s">
        <v>441</v>
      </c>
      <c r="B551" s="343">
        <v>111</v>
      </c>
      <c r="C551" s="107" t="s">
        <v>61</v>
      </c>
      <c r="D551" s="71" t="s">
        <v>442</v>
      </c>
      <c r="E551" s="71" t="s">
        <v>154</v>
      </c>
      <c r="F551" s="71" t="s">
        <v>155</v>
      </c>
      <c r="G551" s="71" t="s">
        <v>156</v>
      </c>
      <c r="H551" s="71"/>
      <c r="I551" s="37">
        <f aca="true" t="shared" si="64" ref="I551:M554">I552</f>
        <v>0</v>
      </c>
      <c r="J551" s="37">
        <f t="shared" si="64"/>
        <v>0</v>
      </c>
      <c r="K551" s="344">
        <f t="shared" si="57"/>
        <v>0</v>
      </c>
      <c r="L551" s="37">
        <f t="shared" si="64"/>
        <v>0</v>
      </c>
      <c r="M551" s="37">
        <f t="shared" si="64"/>
        <v>0</v>
      </c>
      <c r="N551" s="327"/>
      <c r="O551" s="327"/>
    </row>
    <row r="552" spans="1:15" s="355" customFormat="1" ht="14.25" customHeight="1" hidden="1">
      <c r="A552" s="139" t="s">
        <v>410</v>
      </c>
      <c r="B552" s="343">
        <v>111</v>
      </c>
      <c r="C552" s="107" t="s">
        <v>61</v>
      </c>
      <c r="D552" s="71" t="s">
        <v>442</v>
      </c>
      <c r="E552" s="71" t="s">
        <v>338</v>
      </c>
      <c r="F552" s="71" t="s">
        <v>155</v>
      </c>
      <c r="G552" s="71" t="s">
        <v>156</v>
      </c>
      <c r="H552" s="71"/>
      <c r="I552" s="37">
        <f t="shared" si="64"/>
        <v>0</v>
      </c>
      <c r="J552" s="37">
        <f t="shared" si="64"/>
        <v>0</v>
      </c>
      <c r="K552" s="344">
        <f t="shared" si="57"/>
        <v>0</v>
      </c>
      <c r="L552" s="37">
        <f t="shared" si="64"/>
        <v>0</v>
      </c>
      <c r="M552" s="37">
        <f t="shared" si="64"/>
        <v>0</v>
      </c>
      <c r="N552" s="327"/>
      <c r="O552" s="327"/>
    </row>
    <row r="553" spans="1:13" s="355" customFormat="1" ht="16.5" customHeight="1" hidden="1">
      <c r="A553" s="136" t="s">
        <v>410</v>
      </c>
      <c r="B553" s="343">
        <v>111</v>
      </c>
      <c r="C553" s="107" t="s">
        <v>61</v>
      </c>
      <c r="D553" s="71" t="s">
        <v>442</v>
      </c>
      <c r="E553" s="71" t="s">
        <v>338</v>
      </c>
      <c r="F553" s="71" t="s">
        <v>153</v>
      </c>
      <c r="G553" s="71" t="s">
        <v>156</v>
      </c>
      <c r="H553" s="71"/>
      <c r="I553" s="37">
        <f t="shared" si="64"/>
        <v>0</v>
      </c>
      <c r="J553" s="37">
        <f t="shared" si="64"/>
        <v>0</v>
      </c>
      <c r="K553" s="344">
        <f t="shared" si="57"/>
        <v>0</v>
      </c>
      <c r="L553" s="37">
        <f t="shared" si="64"/>
        <v>0</v>
      </c>
      <c r="M553" s="37">
        <f t="shared" si="64"/>
        <v>0</v>
      </c>
    </row>
    <row r="554" spans="1:15" s="355" customFormat="1" ht="36.75" customHeight="1" hidden="1">
      <c r="A554" s="123" t="s">
        <v>863</v>
      </c>
      <c r="B554" s="347">
        <v>111</v>
      </c>
      <c r="C554" s="112" t="s">
        <v>61</v>
      </c>
      <c r="D554" s="111" t="s">
        <v>442</v>
      </c>
      <c r="E554" s="111" t="s">
        <v>338</v>
      </c>
      <c r="F554" s="111" t="s">
        <v>153</v>
      </c>
      <c r="G554" s="111" t="s">
        <v>862</v>
      </c>
      <c r="H554" s="111"/>
      <c r="I554" s="78">
        <f t="shared" si="64"/>
        <v>0</v>
      </c>
      <c r="J554" s="78">
        <f t="shared" si="64"/>
        <v>0</v>
      </c>
      <c r="K554" s="348">
        <f t="shared" si="57"/>
        <v>0</v>
      </c>
      <c r="L554" s="78">
        <f t="shared" si="64"/>
        <v>0</v>
      </c>
      <c r="M554" s="78">
        <f t="shared" si="64"/>
        <v>0</v>
      </c>
      <c r="N554" s="327"/>
      <c r="O554" s="327"/>
    </row>
    <row r="555" spans="1:15" s="355" customFormat="1" ht="17.25" customHeight="1" hidden="1">
      <c r="A555" s="124" t="s">
        <v>765</v>
      </c>
      <c r="B555" s="347">
        <v>111</v>
      </c>
      <c r="C555" s="112" t="s">
        <v>61</v>
      </c>
      <c r="D555" s="111" t="s">
        <v>442</v>
      </c>
      <c r="E555" s="111" t="s">
        <v>338</v>
      </c>
      <c r="F555" s="111" t="s">
        <v>153</v>
      </c>
      <c r="G555" s="111" t="s">
        <v>862</v>
      </c>
      <c r="H555" s="111" t="s">
        <v>766</v>
      </c>
      <c r="I555" s="78"/>
      <c r="J555" s="78"/>
      <c r="K555" s="348">
        <f t="shared" si="57"/>
        <v>0</v>
      </c>
      <c r="L555" s="78"/>
      <c r="M555" s="78"/>
      <c r="N555" s="327"/>
      <c r="O555" s="327"/>
    </row>
    <row r="556" spans="1:13" ht="18.75" customHeight="1">
      <c r="A556" s="139" t="s">
        <v>62</v>
      </c>
      <c r="B556" s="343">
        <v>111</v>
      </c>
      <c r="C556" s="107" t="s">
        <v>63</v>
      </c>
      <c r="D556" s="71"/>
      <c r="E556" s="71"/>
      <c r="F556" s="71"/>
      <c r="G556" s="71"/>
      <c r="H556" s="71"/>
      <c r="I556" s="37">
        <f>I557+I565</f>
        <v>6255.2</v>
      </c>
      <c r="J556" s="37">
        <f>J557+J565</f>
        <v>6255.2</v>
      </c>
      <c r="K556" s="344">
        <f t="shared" si="57"/>
        <v>0</v>
      </c>
      <c r="L556" s="37">
        <f>L557+L565</f>
        <v>0</v>
      </c>
      <c r="M556" s="37">
        <f>M557+M565</f>
        <v>0</v>
      </c>
    </row>
    <row r="557" spans="1:13" ht="15.75" customHeight="1">
      <c r="A557" s="139" t="s">
        <v>68</v>
      </c>
      <c r="B557" s="343">
        <v>111</v>
      </c>
      <c r="C557" s="107" t="s">
        <v>69</v>
      </c>
      <c r="D557" s="71"/>
      <c r="E557" s="71"/>
      <c r="F557" s="71"/>
      <c r="G557" s="71"/>
      <c r="H557" s="71"/>
      <c r="I557" s="37">
        <f aca="true" t="shared" si="65" ref="I557:J559">I558</f>
        <v>4600</v>
      </c>
      <c r="J557" s="37">
        <f t="shared" si="65"/>
        <v>4600</v>
      </c>
      <c r="K557" s="344">
        <f t="shared" si="57"/>
        <v>0</v>
      </c>
      <c r="L557" s="37">
        <f aca="true" t="shared" si="66" ref="L557:M559">L558</f>
        <v>0</v>
      </c>
      <c r="M557" s="37">
        <f t="shared" si="66"/>
        <v>0</v>
      </c>
    </row>
    <row r="558" spans="1:13" ht="18.75" customHeight="1">
      <c r="A558" s="139" t="s">
        <v>441</v>
      </c>
      <c r="B558" s="343">
        <v>111</v>
      </c>
      <c r="C558" s="107" t="s">
        <v>69</v>
      </c>
      <c r="D558" s="71" t="s">
        <v>442</v>
      </c>
      <c r="E558" s="71" t="s">
        <v>154</v>
      </c>
      <c r="F558" s="71" t="s">
        <v>155</v>
      </c>
      <c r="G558" s="71" t="s">
        <v>156</v>
      </c>
      <c r="H558" s="71"/>
      <c r="I558" s="37">
        <f t="shared" si="65"/>
        <v>4600</v>
      </c>
      <c r="J558" s="37">
        <f t="shared" si="65"/>
        <v>4600</v>
      </c>
      <c r="K558" s="344">
        <f t="shared" si="57"/>
        <v>0</v>
      </c>
      <c r="L558" s="37">
        <f t="shared" si="66"/>
        <v>0</v>
      </c>
      <c r="M558" s="37">
        <f t="shared" si="66"/>
        <v>0</v>
      </c>
    </row>
    <row r="559" spans="1:13" ht="17.25" customHeight="1">
      <c r="A559" s="139" t="s">
        <v>410</v>
      </c>
      <c r="B559" s="343">
        <v>111</v>
      </c>
      <c r="C559" s="107" t="s">
        <v>69</v>
      </c>
      <c r="D559" s="71" t="s">
        <v>442</v>
      </c>
      <c r="E559" s="71" t="s">
        <v>338</v>
      </c>
      <c r="F559" s="71" t="s">
        <v>155</v>
      </c>
      <c r="G559" s="71" t="s">
        <v>156</v>
      </c>
      <c r="H559" s="71"/>
      <c r="I559" s="37">
        <f t="shared" si="65"/>
        <v>4600</v>
      </c>
      <c r="J559" s="37">
        <f t="shared" si="65"/>
        <v>4600</v>
      </c>
      <c r="K559" s="344">
        <f t="shared" si="57"/>
        <v>0</v>
      </c>
      <c r="L559" s="37">
        <f t="shared" si="66"/>
        <v>0</v>
      </c>
      <c r="M559" s="37">
        <f t="shared" si="66"/>
        <v>0</v>
      </c>
    </row>
    <row r="560" spans="1:13" s="355" customFormat="1" ht="17.25" customHeight="1">
      <c r="A560" s="136" t="s">
        <v>410</v>
      </c>
      <c r="B560" s="343">
        <v>111</v>
      </c>
      <c r="C560" s="107" t="s">
        <v>69</v>
      </c>
      <c r="D560" s="71" t="s">
        <v>442</v>
      </c>
      <c r="E560" s="71" t="s">
        <v>338</v>
      </c>
      <c r="F560" s="71" t="s">
        <v>153</v>
      </c>
      <c r="G560" s="71" t="s">
        <v>156</v>
      </c>
      <c r="H560" s="71"/>
      <c r="I560" s="37">
        <f>I563+I561</f>
        <v>4600</v>
      </c>
      <c r="J560" s="37">
        <f>J563+J561</f>
        <v>4600</v>
      </c>
      <c r="K560" s="344">
        <f t="shared" si="57"/>
        <v>0</v>
      </c>
      <c r="L560" s="37">
        <f>L563+L561</f>
        <v>0</v>
      </c>
      <c r="M560" s="37">
        <f>M563+M561</f>
        <v>0</v>
      </c>
    </row>
    <row r="561" spans="1:13" s="355" customFormat="1" ht="48" customHeight="1">
      <c r="A561" s="127" t="s">
        <v>863</v>
      </c>
      <c r="B561" s="347">
        <v>111</v>
      </c>
      <c r="C561" s="112" t="s">
        <v>69</v>
      </c>
      <c r="D561" s="111" t="s">
        <v>442</v>
      </c>
      <c r="E561" s="111" t="s">
        <v>338</v>
      </c>
      <c r="F561" s="111" t="s">
        <v>153</v>
      </c>
      <c r="G561" s="111" t="s">
        <v>862</v>
      </c>
      <c r="H561" s="111"/>
      <c r="I561" s="78">
        <f>I562</f>
        <v>4600</v>
      </c>
      <c r="J561" s="78">
        <f>J562</f>
        <v>4600</v>
      </c>
      <c r="K561" s="348">
        <f t="shared" si="57"/>
        <v>0</v>
      </c>
      <c r="L561" s="78">
        <f>L562</f>
        <v>0</v>
      </c>
      <c r="M561" s="78">
        <f>M562</f>
        <v>0</v>
      </c>
    </row>
    <row r="562" spans="1:13" s="355" customFormat="1" ht="18.75" customHeight="1">
      <c r="A562" s="124" t="s">
        <v>765</v>
      </c>
      <c r="B562" s="347">
        <v>111</v>
      </c>
      <c r="C562" s="112" t="s">
        <v>69</v>
      </c>
      <c r="D562" s="111" t="s">
        <v>442</v>
      </c>
      <c r="E562" s="111" t="s">
        <v>338</v>
      </c>
      <c r="F562" s="111" t="s">
        <v>153</v>
      </c>
      <c r="G562" s="111" t="s">
        <v>862</v>
      </c>
      <c r="H562" s="111" t="s">
        <v>766</v>
      </c>
      <c r="I562" s="78">
        <v>4600</v>
      </c>
      <c r="J562" s="78">
        <v>4600</v>
      </c>
      <c r="K562" s="348"/>
      <c r="L562" s="78"/>
      <c r="M562" s="78"/>
    </row>
    <row r="563" spans="1:15" ht="33" customHeight="1" hidden="1">
      <c r="A563" s="123" t="s">
        <v>483</v>
      </c>
      <c r="B563" s="347">
        <v>111</v>
      </c>
      <c r="C563" s="112" t="s">
        <v>69</v>
      </c>
      <c r="D563" s="111" t="s">
        <v>442</v>
      </c>
      <c r="E563" s="111" t="s">
        <v>338</v>
      </c>
      <c r="F563" s="111" t="s">
        <v>153</v>
      </c>
      <c r="G563" s="111" t="s">
        <v>484</v>
      </c>
      <c r="H563" s="111"/>
      <c r="I563" s="78">
        <f>I564</f>
        <v>0</v>
      </c>
      <c r="J563" s="78">
        <f>J564</f>
        <v>0</v>
      </c>
      <c r="K563" s="348">
        <f t="shared" si="57"/>
        <v>0</v>
      </c>
      <c r="L563" s="78">
        <f>L564</f>
        <v>0</v>
      </c>
      <c r="M563" s="78">
        <f>M564</f>
        <v>0</v>
      </c>
      <c r="N563" s="345"/>
      <c r="O563" s="345"/>
    </row>
    <row r="564" spans="1:15" ht="33.75" customHeight="1" hidden="1">
      <c r="A564" s="124" t="s">
        <v>765</v>
      </c>
      <c r="B564" s="347">
        <v>111</v>
      </c>
      <c r="C564" s="112" t="s">
        <v>69</v>
      </c>
      <c r="D564" s="111" t="s">
        <v>442</v>
      </c>
      <c r="E564" s="111" t="s">
        <v>338</v>
      </c>
      <c r="F564" s="111" t="s">
        <v>153</v>
      </c>
      <c r="G564" s="111" t="s">
        <v>484</v>
      </c>
      <c r="H564" s="111" t="s">
        <v>766</v>
      </c>
      <c r="I564" s="78"/>
      <c r="J564" s="132"/>
      <c r="K564" s="348">
        <f t="shared" si="57"/>
        <v>0</v>
      </c>
      <c r="L564" s="78"/>
      <c r="M564" s="78"/>
      <c r="N564" s="345"/>
      <c r="O564" s="345"/>
    </row>
    <row r="565" spans="1:13" s="345" customFormat="1" ht="24" customHeight="1">
      <c r="A565" s="91" t="s">
        <v>72</v>
      </c>
      <c r="B565" s="343">
        <v>111</v>
      </c>
      <c r="C565" s="107" t="s">
        <v>73</v>
      </c>
      <c r="D565" s="71"/>
      <c r="E565" s="71"/>
      <c r="F565" s="71"/>
      <c r="G565" s="71"/>
      <c r="H565" s="71"/>
      <c r="I565" s="37">
        <f aca="true" t="shared" si="67" ref="I565:M569">I566</f>
        <v>1655.2</v>
      </c>
      <c r="J565" s="37">
        <f t="shared" si="67"/>
        <v>1655.2</v>
      </c>
      <c r="K565" s="344">
        <f t="shared" si="57"/>
        <v>0</v>
      </c>
      <c r="L565" s="37">
        <f t="shared" si="67"/>
        <v>0</v>
      </c>
      <c r="M565" s="37">
        <f t="shared" si="67"/>
        <v>0</v>
      </c>
    </row>
    <row r="566" spans="1:13" s="345" customFormat="1" ht="18.75" customHeight="1">
      <c r="A566" s="139" t="s">
        <v>441</v>
      </c>
      <c r="B566" s="343">
        <v>111</v>
      </c>
      <c r="C566" s="107" t="s">
        <v>73</v>
      </c>
      <c r="D566" s="71" t="s">
        <v>442</v>
      </c>
      <c r="E566" s="71" t="s">
        <v>154</v>
      </c>
      <c r="F566" s="71" t="s">
        <v>155</v>
      </c>
      <c r="G566" s="71" t="s">
        <v>156</v>
      </c>
      <c r="H566" s="71"/>
      <c r="I566" s="37">
        <f t="shared" si="67"/>
        <v>1655.2</v>
      </c>
      <c r="J566" s="37">
        <f t="shared" si="67"/>
        <v>1655.2</v>
      </c>
      <c r="K566" s="344">
        <f t="shared" si="57"/>
        <v>0</v>
      </c>
      <c r="L566" s="37">
        <f t="shared" si="67"/>
        <v>0</v>
      </c>
      <c r="M566" s="37">
        <f t="shared" si="67"/>
        <v>0</v>
      </c>
    </row>
    <row r="567" spans="1:13" s="345" customFormat="1" ht="16.5" customHeight="1">
      <c r="A567" s="139" t="s">
        <v>410</v>
      </c>
      <c r="B567" s="343">
        <v>111</v>
      </c>
      <c r="C567" s="107" t="s">
        <v>73</v>
      </c>
      <c r="D567" s="71" t="s">
        <v>442</v>
      </c>
      <c r="E567" s="71" t="s">
        <v>338</v>
      </c>
      <c r="F567" s="71" t="s">
        <v>155</v>
      </c>
      <c r="G567" s="71" t="s">
        <v>156</v>
      </c>
      <c r="H567" s="71"/>
      <c r="I567" s="37">
        <f t="shared" si="67"/>
        <v>1655.2</v>
      </c>
      <c r="J567" s="37">
        <f t="shared" si="67"/>
        <v>1655.2</v>
      </c>
      <c r="K567" s="344">
        <f t="shared" si="57"/>
        <v>0</v>
      </c>
      <c r="L567" s="37">
        <f t="shared" si="67"/>
        <v>0</v>
      </c>
      <c r="M567" s="37">
        <f t="shared" si="67"/>
        <v>0</v>
      </c>
    </row>
    <row r="568" spans="1:13" s="345" customFormat="1" ht="18.75" customHeight="1">
      <c r="A568" s="136" t="s">
        <v>410</v>
      </c>
      <c r="B568" s="343">
        <v>111</v>
      </c>
      <c r="C568" s="107" t="s">
        <v>73</v>
      </c>
      <c r="D568" s="71" t="s">
        <v>442</v>
      </c>
      <c r="E568" s="71" t="s">
        <v>338</v>
      </c>
      <c r="F568" s="71" t="s">
        <v>153</v>
      </c>
      <c r="G568" s="71" t="s">
        <v>156</v>
      </c>
      <c r="H568" s="71"/>
      <c r="I568" s="37">
        <f t="shared" si="67"/>
        <v>1655.2</v>
      </c>
      <c r="J568" s="37">
        <f t="shared" si="67"/>
        <v>1655.2</v>
      </c>
      <c r="K568" s="344">
        <f t="shared" si="57"/>
        <v>0</v>
      </c>
      <c r="L568" s="37">
        <f t="shared" si="67"/>
        <v>0</v>
      </c>
      <c r="M568" s="37">
        <f t="shared" si="67"/>
        <v>0</v>
      </c>
    </row>
    <row r="569" spans="1:13" s="345" customFormat="1" ht="30.75" customHeight="1">
      <c r="A569" s="121" t="s">
        <v>703</v>
      </c>
      <c r="B569" s="347">
        <v>111</v>
      </c>
      <c r="C569" s="112" t="s">
        <v>73</v>
      </c>
      <c r="D569" s="111" t="s">
        <v>442</v>
      </c>
      <c r="E569" s="111" t="s">
        <v>338</v>
      </c>
      <c r="F569" s="111" t="s">
        <v>153</v>
      </c>
      <c r="G569" s="111" t="s">
        <v>702</v>
      </c>
      <c r="H569" s="111"/>
      <c r="I569" s="78">
        <f t="shared" si="67"/>
        <v>1655.2</v>
      </c>
      <c r="J569" s="78">
        <f t="shared" si="67"/>
        <v>1655.2</v>
      </c>
      <c r="K569" s="348">
        <f t="shared" si="57"/>
        <v>0</v>
      </c>
      <c r="L569" s="78">
        <f t="shared" si="67"/>
        <v>0</v>
      </c>
      <c r="M569" s="78">
        <f t="shared" si="67"/>
        <v>0</v>
      </c>
    </row>
    <row r="570" spans="1:13" s="345" customFormat="1" ht="18.75" customHeight="1">
      <c r="A570" s="124" t="s">
        <v>765</v>
      </c>
      <c r="B570" s="347">
        <v>111</v>
      </c>
      <c r="C570" s="112" t="s">
        <v>73</v>
      </c>
      <c r="D570" s="111" t="s">
        <v>442</v>
      </c>
      <c r="E570" s="111" t="s">
        <v>338</v>
      </c>
      <c r="F570" s="111" t="s">
        <v>153</v>
      </c>
      <c r="G570" s="111" t="s">
        <v>702</v>
      </c>
      <c r="H570" s="111" t="s">
        <v>766</v>
      </c>
      <c r="I570" s="143">
        <v>1655.2</v>
      </c>
      <c r="J570" s="143">
        <v>1655.2</v>
      </c>
      <c r="K570" s="348">
        <f t="shared" si="57"/>
        <v>0</v>
      </c>
      <c r="L570" s="78"/>
      <c r="M570" s="78"/>
    </row>
    <row r="571" spans="1:13" s="345" customFormat="1" ht="18.75" customHeight="1">
      <c r="A571" s="139" t="s">
        <v>515</v>
      </c>
      <c r="B571" s="343" t="s">
        <v>26</v>
      </c>
      <c r="C571" s="107" t="s">
        <v>75</v>
      </c>
      <c r="D571" s="71"/>
      <c r="E571" s="71"/>
      <c r="F571" s="71"/>
      <c r="G571" s="71"/>
      <c r="H571" s="71"/>
      <c r="I571" s="37">
        <f>I572+I583+I609</f>
        <v>24705.3</v>
      </c>
      <c r="J571" s="37">
        <f>J572+J583+J609</f>
        <v>24774</v>
      </c>
      <c r="K571" s="344">
        <f t="shared" si="57"/>
        <v>68.70000000000073</v>
      </c>
      <c r="L571" s="37">
        <f>L572</f>
        <v>0</v>
      </c>
      <c r="M571" s="37">
        <f>M572</f>
        <v>0</v>
      </c>
    </row>
    <row r="572" spans="1:13" s="345" customFormat="1" ht="16.5" customHeight="1">
      <c r="A572" s="139" t="s">
        <v>76</v>
      </c>
      <c r="B572" s="343" t="s">
        <v>26</v>
      </c>
      <c r="C572" s="107" t="s">
        <v>77</v>
      </c>
      <c r="D572" s="71"/>
      <c r="E572" s="71"/>
      <c r="F572" s="71"/>
      <c r="G572" s="71"/>
      <c r="H572" s="71"/>
      <c r="I572" s="37">
        <f>I573+I578</f>
        <v>1027.2</v>
      </c>
      <c r="J572" s="37">
        <f>J573+J578</f>
        <v>1027.2</v>
      </c>
      <c r="K572" s="344">
        <f t="shared" si="57"/>
        <v>0</v>
      </c>
      <c r="L572" s="37">
        <f>L573+L578</f>
        <v>0</v>
      </c>
      <c r="M572" s="37">
        <f>M573+M578</f>
        <v>0</v>
      </c>
    </row>
    <row r="573" spans="1:15" s="345" customFormat="1" ht="73.5" customHeight="1">
      <c r="A573" s="139" t="s">
        <v>973</v>
      </c>
      <c r="B573" s="343" t="s">
        <v>26</v>
      </c>
      <c r="C573" s="107" t="s">
        <v>77</v>
      </c>
      <c r="D573" s="71" t="s">
        <v>153</v>
      </c>
      <c r="E573" s="71" t="s">
        <v>154</v>
      </c>
      <c r="F573" s="71" t="s">
        <v>155</v>
      </c>
      <c r="G573" s="71" t="s">
        <v>156</v>
      </c>
      <c r="H573" s="71"/>
      <c r="I573" s="37">
        <f aca="true" t="shared" si="68" ref="I573:M576">I574</f>
        <v>1027.2</v>
      </c>
      <c r="J573" s="37">
        <f t="shared" si="68"/>
        <v>1027.2</v>
      </c>
      <c r="K573" s="344">
        <f t="shared" si="57"/>
        <v>0</v>
      </c>
      <c r="L573" s="37">
        <f t="shared" si="68"/>
        <v>0</v>
      </c>
      <c r="M573" s="37">
        <f t="shared" si="68"/>
        <v>0</v>
      </c>
      <c r="N573" s="346"/>
      <c r="O573" s="346"/>
    </row>
    <row r="574" spans="1:15" s="345" customFormat="1" ht="34.5" customHeight="1">
      <c r="A574" s="136" t="s">
        <v>157</v>
      </c>
      <c r="B574" s="343" t="s">
        <v>26</v>
      </c>
      <c r="C574" s="107" t="s">
        <v>77</v>
      </c>
      <c r="D574" s="71" t="s">
        <v>153</v>
      </c>
      <c r="E574" s="71" t="s">
        <v>136</v>
      </c>
      <c r="F574" s="71" t="s">
        <v>155</v>
      </c>
      <c r="G574" s="71" t="s">
        <v>156</v>
      </c>
      <c r="H574" s="71"/>
      <c r="I574" s="37">
        <f t="shared" si="68"/>
        <v>1027.2</v>
      </c>
      <c r="J574" s="37">
        <f t="shared" si="68"/>
        <v>1027.2</v>
      </c>
      <c r="K574" s="344">
        <f t="shared" si="57"/>
        <v>0</v>
      </c>
      <c r="L574" s="37">
        <f t="shared" si="68"/>
        <v>0</v>
      </c>
      <c r="M574" s="37">
        <f t="shared" si="68"/>
        <v>0</v>
      </c>
      <c r="N574" s="346"/>
      <c r="O574" s="346"/>
    </row>
    <row r="575" spans="1:13" s="345" customFormat="1" ht="47.25" customHeight="1">
      <c r="A575" s="136" t="s">
        <v>885</v>
      </c>
      <c r="B575" s="343" t="s">
        <v>26</v>
      </c>
      <c r="C575" s="107" t="s">
        <v>77</v>
      </c>
      <c r="D575" s="71" t="s">
        <v>153</v>
      </c>
      <c r="E575" s="71" t="s">
        <v>136</v>
      </c>
      <c r="F575" s="71" t="s">
        <v>153</v>
      </c>
      <c r="G575" s="71" t="s">
        <v>156</v>
      </c>
      <c r="H575" s="71"/>
      <c r="I575" s="37">
        <f t="shared" si="68"/>
        <v>1027.2</v>
      </c>
      <c r="J575" s="37">
        <f t="shared" si="68"/>
        <v>1027.2</v>
      </c>
      <c r="K575" s="344">
        <f aca="true" t="shared" si="69" ref="K575:K647">J575-I575</f>
        <v>0</v>
      </c>
      <c r="L575" s="37">
        <f t="shared" si="68"/>
        <v>0</v>
      </c>
      <c r="M575" s="37">
        <f t="shared" si="68"/>
        <v>0</v>
      </c>
    </row>
    <row r="576" spans="1:13" s="346" customFormat="1" ht="49.5" customHeight="1">
      <c r="A576" s="127" t="s">
        <v>970</v>
      </c>
      <c r="B576" s="347" t="s">
        <v>26</v>
      </c>
      <c r="C576" s="112" t="s">
        <v>77</v>
      </c>
      <c r="D576" s="111" t="s">
        <v>153</v>
      </c>
      <c r="E576" s="111" t="s">
        <v>136</v>
      </c>
      <c r="F576" s="111" t="s">
        <v>153</v>
      </c>
      <c r="G576" s="111" t="s">
        <v>945</v>
      </c>
      <c r="H576" s="111"/>
      <c r="I576" s="78">
        <f t="shared" si="68"/>
        <v>1027.2</v>
      </c>
      <c r="J576" s="78">
        <f t="shared" si="68"/>
        <v>1027.2</v>
      </c>
      <c r="K576" s="348">
        <f t="shared" si="69"/>
        <v>0</v>
      </c>
      <c r="L576" s="78">
        <f t="shared" si="68"/>
        <v>0</v>
      </c>
      <c r="M576" s="78">
        <f t="shared" si="68"/>
        <v>0</v>
      </c>
    </row>
    <row r="577" spans="1:13" s="346" customFormat="1" ht="18" customHeight="1">
      <c r="A577" s="124" t="s">
        <v>765</v>
      </c>
      <c r="B577" s="347" t="s">
        <v>26</v>
      </c>
      <c r="C577" s="112" t="s">
        <v>77</v>
      </c>
      <c r="D577" s="111" t="s">
        <v>153</v>
      </c>
      <c r="E577" s="111" t="s">
        <v>136</v>
      </c>
      <c r="F577" s="111" t="s">
        <v>153</v>
      </c>
      <c r="G577" s="111" t="s">
        <v>945</v>
      </c>
      <c r="H577" s="111" t="s">
        <v>766</v>
      </c>
      <c r="I577" s="78">
        <v>1027.2</v>
      </c>
      <c r="J577" s="78">
        <v>1027.2</v>
      </c>
      <c r="K577" s="348">
        <f t="shared" si="69"/>
        <v>0</v>
      </c>
      <c r="L577" s="78"/>
      <c r="M577" s="78"/>
    </row>
    <row r="578" spans="1:13" s="345" customFormat="1" ht="17.25" customHeight="1" hidden="1">
      <c r="A578" s="139" t="s">
        <v>441</v>
      </c>
      <c r="B578" s="343" t="s">
        <v>26</v>
      </c>
      <c r="C578" s="107" t="s">
        <v>77</v>
      </c>
      <c r="D578" s="71" t="s">
        <v>442</v>
      </c>
      <c r="E578" s="71" t="s">
        <v>154</v>
      </c>
      <c r="F578" s="71" t="s">
        <v>155</v>
      </c>
      <c r="G578" s="71" t="s">
        <v>156</v>
      </c>
      <c r="H578" s="71"/>
      <c r="I578" s="37">
        <f aca="true" t="shared" si="70" ref="I578:M580">I579</f>
        <v>0</v>
      </c>
      <c r="J578" s="37">
        <f t="shared" si="70"/>
        <v>0</v>
      </c>
      <c r="K578" s="344">
        <f t="shared" si="69"/>
        <v>0</v>
      </c>
      <c r="L578" s="37">
        <f t="shared" si="70"/>
        <v>0</v>
      </c>
      <c r="M578" s="37">
        <f t="shared" si="70"/>
        <v>0</v>
      </c>
    </row>
    <row r="579" spans="1:13" s="345" customFormat="1" ht="21" customHeight="1" hidden="1">
      <c r="A579" s="136" t="s">
        <v>410</v>
      </c>
      <c r="B579" s="343" t="s">
        <v>26</v>
      </c>
      <c r="C579" s="107" t="s">
        <v>77</v>
      </c>
      <c r="D579" s="71" t="s">
        <v>442</v>
      </c>
      <c r="E579" s="71" t="s">
        <v>338</v>
      </c>
      <c r="F579" s="71" t="s">
        <v>155</v>
      </c>
      <c r="G579" s="71" t="s">
        <v>156</v>
      </c>
      <c r="H579" s="71"/>
      <c r="I579" s="37">
        <f t="shared" si="70"/>
        <v>0</v>
      </c>
      <c r="J579" s="37">
        <f t="shared" si="70"/>
        <v>0</v>
      </c>
      <c r="K579" s="344">
        <f t="shared" si="69"/>
        <v>0</v>
      </c>
      <c r="L579" s="37">
        <f t="shared" si="70"/>
        <v>0</v>
      </c>
      <c r="M579" s="37">
        <f t="shared" si="70"/>
        <v>0</v>
      </c>
    </row>
    <row r="580" spans="1:13" s="345" customFormat="1" ht="21" customHeight="1" hidden="1">
      <c r="A580" s="136" t="s">
        <v>410</v>
      </c>
      <c r="B580" s="343" t="s">
        <v>26</v>
      </c>
      <c r="C580" s="107" t="s">
        <v>77</v>
      </c>
      <c r="D580" s="71" t="s">
        <v>442</v>
      </c>
      <c r="E580" s="71" t="s">
        <v>338</v>
      </c>
      <c r="F580" s="71" t="s">
        <v>153</v>
      </c>
      <c r="G580" s="71" t="s">
        <v>156</v>
      </c>
      <c r="H580" s="71"/>
      <c r="I580" s="37">
        <f>I581</f>
        <v>0</v>
      </c>
      <c r="J580" s="37">
        <f t="shared" si="70"/>
        <v>0</v>
      </c>
      <c r="K580" s="344">
        <f t="shared" si="69"/>
        <v>0</v>
      </c>
      <c r="L580" s="37">
        <f t="shared" si="70"/>
        <v>0</v>
      </c>
      <c r="M580" s="37">
        <f t="shared" si="70"/>
        <v>0</v>
      </c>
    </row>
    <row r="581" spans="1:13" s="345" customFormat="1" ht="125.25" customHeight="1" hidden="1">
      <c r="A581" s="124" t="s">
        <v>480</v>
      </c>
      <c r="B581" s="347">
        <v>111</v>
      </c>
      <c r="C581" s="112" t="s">
        <v>77</v>
      </c>
      <c r="D581" s="111" t="s">
        <v>442</v>
      </c>
      <c r="E581" s="111" t="s">
        <v>338</v>
      </c>
      <c r="F581" s="111" t="s">
        <v>153</v>
      </c>
      <c r="G581" s="111" t="s">
        <v>481</v>
      </c>
      <c r="H581" s="111"/>
      <c r="I581" s="78">
        <f>I582</f>
        <v>0</v>
      </c>
      <c r="J581" s="78">
        <f>J582</f>
        <v>0</v>
      </c>
      <c r="K581" s="348">
        <f t="shared" si="69"/>
        <v>0</v>
      </c>
      <c r="L581" s="78">
        <f>L582</f>
        <v>0</v>
      </c>
      <c r="M581" s="78">
        <f>M582</f>
        <v>0</v>
      </c>
    </row>
    <row r="582" spans="1:13" s="345" customFormat="1" ht="21.75" customHeight="1" hidden="1">
      <c r="A582" s="124" t="s">
        <v>765</v>
      </c>
      <c r="B582" s="347">
        <v>111</v>
      </c>
      <c r="C582" s="112" t="s">
        <v>77</v>
      </c>
      <c r="D582" s="111" t="s">
        <v>442</v>
      </c>
      <c r="E582" s="111" t="s">
        <v>338</v>
      </c>
      <c r="F582" s="111" t="s">
        <v>153</v>
      </c>
      <c r="G582" s="111" t="s">
        <v>481</v>
      </c>
      <c r="H582" s="111" t="s">
        <v>766</v>
      </c>
      <c r="I582" s="78"/>
      <c r="J582" s="78"/>
      <c r="K582" s="348">
        <f t="shared" si="69"/>
        <v>0</v>
      </c>
      <c r="L582" s="78"/>
      <c r="M582" s="78"/>
    </row>
    <row r="583" spans="1:13" s="345" customFormat="1" ht="21.75" customHeight="1">
      <c r="A583" s="139" t="s">
        <v>78</v>
      </c>
      <c r="B583" s="343" t="s">
        <v>26</v>
      </c>
      <c r="C583" s="107" t="s">
        <v>79</v>
      </c>
      <c r="D583" s="71"/>
      <c r="E583" s="71"/>
      <c r="F583" s="71"/>
      <c r="G583" s="71"/>
      <c r="H583" s="71"/>
      <c r="I583" s="37">
        <f>I584+I604</f>
        <v>3470</v>
      </c>
      <c r="J583" s="37">
        <f>J584+J604</f>
        <v>3538.7</v>
      </c>
      <c r="K583" s="344">
        <f t="shared" si="69"/>
        <v>68.69999999999982</v>
      </c>
      <c r="L583" s="37">
        <f>L584+L604</f>
        <v>0</v>
      </c>
      <c r="M583" s="37">
        <f>M584+M604</f>
        <v>0</v>
      </c>
    </row>
    <row r="584" spans="1:13" s="345" customFormat="1" ht="75" customHeight="1">
      <c r="A584" s="139" t="s">
        <v>973</v>
      </c>
      <c r="B584" s="343" t="s">
        <v>26</v>
      </c>
      <c r="C584" s="107" t="s">
        <v>79</v>
      </c>
      <c r="D584" s="71" t="s">
        <v>153</v>
      </c>
      <c r="E584" s="71" t="s">
        <v>154</v>
      </c>
      <c r="F584" s="71" t="s">
        <v>155</v>
      </c>
      <c r="G584" s="71" t="s">
        <v>156</v>
      </c>
      <c r="H584" s="71"/>
      <c r="I584" s="37">
        <f>I585+I591+I596</f>
        <v>3470</v>
      </c>
      <c r="J584" s="37">
        <f>J585+J591+J596</f>
        <v>3538.7</v>
      </c>
      <c r="K584" s="344">
        <f t="shared" si="69"/>
        <v>68.69999999999982</v>
      </c>
      <c r="L584" s="37">
        <f>L585+L591+L596</f>
        <v>0</v>
      </c>
      <c r="M584" s="37">
        <f>M585+M591+M596</f>
        <v>0</v>
      </c>
    </row>
    <row r="585" spans="1:13" s="345" customFormat="1" ht="36" customHeight="1">
      <c r="A585" s="109" t="s">
        <v>157</v>
      </c>
      <c r="B585" s="343" t="s">
        <v>26</v>
      </c>
      <c r="C585" s="107" t="s">
        <v>79</v>
      </c>
      <c r="D585" s="71" t="s">
        <v>153</v>
      </c>
      <c r="E585" s="71" t="s">
        <v>136</v>
      </c>
      <c r="F585" s="71" t="s">
        <v>155</v>
      </c>
      <c r="G585" s="71" t="s">
        <v>156</v>
      </c>
      <c r="H585" s="71"/>
      <c r="I585" s="37">
        <f aca="true" t="shared" si="71" ref="I585:M587">I586</f>
        <v>250</v>
      </c>
      <c r="J585" s="37">
        <f t="shared" si="71"/>
        <v>250</v>
      </c>
      <c r="K585" s="344">
        <f t="shared" si="69"/>
        <v>0</v>
      </c>
      <c r="L585" s="37">
        <f t="shared" si="71"/>
        <v>0</v>
      </c>
      <c r="M585" s="37">
        <f t="shared" si="71"/>
        <v>0</v>
      </c>
    </row>
    <row r="586" spans="1:13" s="345" customFormat="1" ht="48.75" customHeight="1">
      <c r="A586" s="109" t="s">
        <v>885</v>
      </c>
      <c r="B586" s="343" t="s">
        <v>26</v>
      </c>
      <c r="C586" s="107" t="s">
        <v>79</v>
      </c>
      <c r="D586" s="71" t="s">
        <v>153</v>
      </c>
      <c r="E586" s="71" t="s">
        <v>136</v>
      </c>
      <c r="F586" s="71" t="s">
        <v>153</v>
      </c>
      <c r="G586" s="71" t="s">
        <v>156</v>
      </c>
      <c r="H586" s="71"/>
      <c r="I586" s="37">
        <f>I587+I589</f>
        <v>250</v>
      </c>
      <c r="J586" s="37">
        <f>J587+J589</f>
        <v>250</v>
      </c>
      <c r="K586" s="344">
        <f t="shared" si="69"/>
        <v>0</v>
      </c>
      <c r="L586" s="37">
        <f>L587+L589</f>
        <v>0</v>
      </c>
      <c r="M586" s="37">
        <f>M587+M589</f>
        <v>0</v>
      </c>
    </row>
    <row r="587" spans="1:13" s="345" customFormat="1" ht="34.5" customHeight="1">
      <c r="A587" s="371" t="s">
        <v>931</v>
      </c>
      <c r="B587" s="347" t="s">
        <v>26</v>
      </c>
      <c r="C587" s="112" t="s">
        <v>79</v>
      </c>
      <c r="D587" s="111" t="s">
        <v>153</v>
      </c>
      <c r="E587" s="111" t="s">
        <v>136</v>
      </c>
      <c r="F587" s="111" t="s">
        <v>153</v>
      </c>
      <c r="G587" s="111" t="s">
        <v>158</v>
      </c>
      <c r="H587" s="111"/>
      <c r="I587" s="78">
        <f>I588</f>
        <v>150</v>
      </c>
      <c r="J587" s="78">
        <f t="shared" si="71"/>
        <v>150</v>
      </c>
      <c r="K587" s="348">
        <f t="shared" si="69"/>
        <v>0</v>
      </c>
      <c r="L587" s="78">
        <f t="shared" si="71"/>
        <v>0</v>
      </c>
      <c r="M587" s="78">
        <f t="shared" si="71"/>
        <v>0</v>
      </c>
    </row>
    <row r="588" spans="1:13" s="345" customFormat="1" ht="21" customHeight="1">
      <c r="A588" s="123" t="s">
        <v>767</v>
      </c>
      <c r="B588" s="347" t="s">
        <v>26</v>
      </c>
      <c r="C588" s="112" t="s">
        <v>79</v>
      </c>
      <c r="D588" s="111" t="s">
        <v>153</v>
      </c>
      <c r="E588" s="111" t="s">
        <v>136</v>
      </c>
      <c r="F588" s="111" t="s">
        <v>153</v>
      </c>
      <c r="G588" s="111" t="s">
        <v>158</v>
      </c>
      <c r="H588" s="111" t="s">
        <v>766</v>
      </c>
      <c r="I588" s="78">
        <v>150</v>
      </c>
      <c r="J588" s="78">
        <v>150</v>
      </c>
      <c r="K588" s="348">
        <f t="shared" si="69"/>
        <v>0</v>
      </c>
      <c r="L588" s="78"/>
      <c r="M588" s="78"/>
    </row>
    <row r="589" spans="1:13" s="345" customFormat="1" ht="30.75" customHeight="1">
      <c r="A589" s="114" t="s">
        <v>934</v>
      </c>
      <c r="B589" s="347">
        <v>111</v>
      </c>
      <c r="C589" s="112" t="s">
        <v>79</v>
      </c>
      <c r="D589" s="111" t="s">
        <v>153</v>
      </c>
      <c r="E589" s="111" t="s">
        <v>136</v>
      </c>
      <c r="F589" s="111" t="s">
        <v>166</v>
      </c>
      <c r="G589" s="111" t="s">
        <v>950</v>
      </c>
      <c r="H589" s="111"/>
      <c r="I589" s="78">
        <f>I590</f>
        <v>100</v>
      </c>
      <c r="J589" s="78">
        <f>J590</f>
        <v>100</v>
      </c>
      <c r="K589" s="348">
        <f>J589-I589</f>
        <v>0</v>
      </c>
      <c r="L589" s="78">
        <f>L590</f>
        <v>0</v>
      </c>
      <c r="M589" s="78">
        <f>M590</f>
        <v>0</v>
      </c>
    </row>
    <row r="590" spans="1:13" s="345" customFormat="1" ht="20.25" customHeight="1">
      <c r="A590" s="114" t="s">
        <v>767</v>
      </c>
      <c r="B590" s="347">
        <v>111</v>
      </c>
      <c r="C590" s="112" t="s">
        <v>79</v>
      </c>
      <c r="D590" s="111" t="s">
        <v>153</v>
      </c>
      <c r="E590" s="111" t="s">
        <v>136</v>
      </c>
      <c r="F590" s="111" t="s">
        <v>166</v>
      </c>
      <c r="G590" s="111" t="s">
        <v>950</v>
      </c>
      <c r="H590" s="111" t="s">
        <v>766</v>
      </c>
      <c r="I590" s="78">
        <f>302-202</f>
        <v>100</v>
      </c>
      <c r="J590" s="78">
        <f>302-202</f>
        <v>100</v>
      </c>
      <c r="K590" s="348">
        <f>J590-I590</f>
        <v>0</v>
      </c>
      <c r="L590" s="78"/>
      <c r="M590" s="78"/>
    </row>
    <row r="591" spans="1:13" s="345" customFormat="1" ht="22.5" customHeight="1">
      <c r="A591" s="137" t="s">
        <v>886</v>
      </c>
      <c r="B591" s="343">
        <v>111</v>
      </c>
      <c r="C591" s="107" t="s">
        <v>79</v>
      </c>
      <c r="D591" s="71" t="s">
        <v>153</v>
      </c>
      <c r="E591" s="71" t="s">
        <v>137</v>
      </c>
      <c r="F591" s="71" t="s">
        <v>153</v>
      </c>
      <c r="G591" s="71" t="s">
        <v>156</v>
      </c>
      <c r="H591" s="71"/>
      <c r="I591" s="37">
        <f>I592+I594</f>
        <v>765</v>
      </c>
      <c r="J591" s="37">
        <f>J592+J594</f>
        <v>833.7</v>
      </c>
      <c r="K591" s="344">
        <f>J591-I591</f>
        <v>68.70000000000005</v>
      </c>
      <c r="L591" s="37">
        <f>L592+L594</f>
        <v>0</v>
      </c>
      <c r="M591" s="37">
        <f>M592+M594</f>
        <v>0</v>
      </c>
    </row>
    <row r="592" spans="1:15" s="345" customFormat="1" ht="52.5" customHeight="1">
      <c r="A592" s="372" t="s">
        <v>552</v>
      </c>
      <c r="B592" s="347">
        <v>111</v>
      </c>
      <c r="C592" s="112" t="s">
        <v>79</v>
      </c>
      <c r="D592" s="111" t="s">
        <v>153</v>
      </c>
      <c r="E592" s="111" t="s">
        <v>137</v>
      </c>
      <c r="F592" s="111" t="s">
        <v>153</v>
      </c>
      <c r="G592" s="111" t="s">
        <v>551</v>
      </c>
      <c r="H592" s="111"/>
      <c r="I592" s="78">
        <f>I593</f>
        <v>690</v>
      </c>
      <c r="J592" s="78">
        <f>J593</f>
        <v>758.7</v>
      </c>
      <c r="K592" s="348">
        <f t="shared" si="69"/>
        <v>68.70000000000005</v>
      </c>
      <c r="L592" s="78">
        <f>L593</f>
        <v>0</v>
      </c>
      <c r="M592" s="78">
        <f>M593</f>
        <v>0</v>
      </c>
      <c r="N592" s="346"/>
      <c r="O592" s="346"/>
    </row>
    <row r="593" spans="1:15" s="345" customFormat="1" ht="19.5" customHeight="1">
      <c r="A593" s="123" t="s">
        <v>767</v>
      </c>
      <c r="B593" s="347">
        <v>111</v>
      </c>
      <c r="C593" s="112" t="s">
        <v>79</v>
      </c>
      <c r="D593" s="111" t="s">
        <v>153</v>
      </c>
      <c r="E593" s="111" t="s">
        <v>137</v>
      </c>
      <c r="F593" s="111" t="s">
        <v>153</v>
      </c>
      <c r="G593" s="111" t="s">
        <v>551</v>
      </c>
      <c r="H593" s="111" t="s">
        <v>766</v>
      </c>
      <c r="I593" s="78">
        <f>600+90</f>
        <v>690</v>
      </c>
      <c r="J593" s="78">
        <f>600+90+68.7</f>
        <v>758.7</v>
      </c>
      <c r="K593" s="348">
        <f t="shared" si="69"/>
        <v>68.70000000000005</v>
      </c>
      <c r="L593" s="78"/>
      <c r="M593" s="78"/>
      <c r="N593" s="346"/>
      <c r="O593" s="346"/>
    </row>
    <row r="594" spans="1:15" s="345" customFormat="1" ht="50.25" customHeight="1">
      <c r="A594" s="121" t="s">
        <v>160</v>
      </c>
      <c r="B594" s="347">
        <v>111</v>
      </c>
      <c r="C594" s="112" t="s">
        <v>79</v>
      </c>
      <c r="D594" s="111" t="s">
        <v>153</v>
      </c>
      <c r="E594" s="111" t="s">
        <v>137</v>
      </c>
      <c r="F594" s="111" t="s">
        <v>153</v>
      </c>
      <c r="G594" s="111" t="s">
        <v>161</v>
      </c>
      <c r="H594" s="111"/>
      <c r="I594" s="78">
        <f>I595</f>
        <v>75</v>
      </c>
      <c r="J594" s="78">
        <f>J595</f>
        <v>75</v>
      </c>
      <c r="K594" s="348">
        <f t="shared" si="69"/>
        <v>0</v>
      </c>
      <c r="L594" s="78">
        <f>L595</f>
        <v>0</v>
      </c>
      <c r="M594" s="78">
        <f>M595</f>
        <v>0</v>
      </c>
      <c r="N594" s="346"/>
      <c r="O594" s="346"/>
    </row>
    <row r="595" spans="1:15" s="345" customFormat="1" ht="19.5" customHeight="1">
      <c r="A595" s="123" t="s">
        <v>767</v>
      </c>
      <c r="B595" s="347">
        <v>111</v>
      </c>
      <c r="C595" s="112" t="s">
        <v>79</v>
      </c>
      <c r="D595" s="111" t="s">
        <v>153</v>
      </c>
      <c r="E595" s="111" t="s">
        <v>137</v>
      </c>
      <c r="F595" s="111" t="s">
        <v>153</v>
      </c>
      <c r="G595" s="111" t="s">
        <v>161</v>
      </c>
      <c r="H595" s="111" t="s">
        <v>766</v>
      </c>
      <c r="I595" s="78">
        <v>75</v>
      </c>
      <c r="J595" s="78">
        <v>75</v>
      </c>
      <c r="K595" s="348">
        <f t="shared" si="69"/>
        <v>0</v>
      </c>
      <c r="L595" s="78"/>
      <c r="M595" s="78"/>
      <c r="N595" s="346"/>
      <c r="O595" s="346"/>
    </row>
    <row r="596" spans="1:13" s="345" customFormat="1" ht="36.75" customHeight="1">
      <c r="A596" s="137" t="s">
        <v>888</v>
      </c>
      <c r="B596" s="343">
        <v>111</v>
      </c>
      <c r="C596" s="107" t="s">
        <v>79</v>
      </c>
      <c r="D596" s="71" t="s">
        <v>153</v>
      </c>
      <c r="E596" s="71" t="s">
        <v>139</v>
      </c>
      <c r="F596" s="71" t="s">
        <v>155</v>
      </c>
      <c r="G596" s="71" t="s">
        <v>156</v>
      </c>
      <c r="H596" s="71"/>
      <c r="I596" s="37">
        <f>I597</f>
        <v>2455</v>
      </c>
      <c r="J596" s="37">
        <f>J597</f>
        <v>2455</v>
      </c>
      <c r="K596" s="344">
        <f t="shared" si="69"/>
        <v>0</v>
      </c>
      <c r="L596" s="37">
        <f>L597</f>
        <v>0</v>
      </c>
      <c r="M596" s="37">
        <f>M597</f>
        <v>0</v>
      </c>
    </row>
    <row r="597" spans="1:13" s="345" customFormat="1" ht="49.5" customHeight="1">
      <c r="A597" s="137" t="s">
        <v>889</v>
      </c>
      <c r="B597" s="343">
        <v>111</v>
      </c>
      <c r="C597" s="107" t="s">
        <v>79</v>
      </c>
      <c r="D597" s="71" t="s">
        <v>153</v>
      </c>
      <c r="E597" s="71" t="s">
        <v>139</v>
      </c>
      <c r="F597" s="71" t="s">
        <v>153</v>
      </c>
      <c r="G597" s="71" t="s">
        <v>156</v>
      </c>
      <c r="H597" s="71"/>
      <c r="I597" s="37">
        <f>I598+I602+I600</f>
        <v>2455</v>
      </c>
      <c r="J597" s="37">
        <f>J598+J602+J600</f>
        <v>2455</v>
      </c>
      <c r="K597" s="344">
        <f t="shared" si="69"/>
        <v>0</v>
      </c>
      <c r="L597" s="37">
        <f>L598</f>
        <v>0</v>
      </c>
      <c r="M597" s="37">
        <f>M598+M602+M600</f>
        <v>0</v>
      </c>
    </row>
    <row r="598" spans="1:13" s="346" customFormat="1" ht="51.75" customHeight="1">
      <c r="A598" s="123" t="s">
        <v>946</v>
      </c>
      <c r="B598" s="347">
        <v>111</v>
      </c>
      <c r="C598" s="112" t="s">
        <v>79</v>
      </c>
      <c r="D598" s="111" t="s">
        <v>153</v>
      </c>
      <c r="E598" s="111" t="s">
        <v>139</v>
      </c>
      <c r="F598" s="111" t="s">
        <v>153</v>
      </c>
      <c r="G598" s="111" t="s">
        <v>162</v>
      </c>
      <c r="H598" s="111"/>
      <c r="I598" s="78">
        <f>I599</f>
        <v>1960</v>
      </c>
      <c r="J598" s="78">
        <f>J599</f>
        <v>1960</v>
      </c>
      <c r="K598" s="348">
        <f t="shared" si="69"/>
        <v>0</v>
      </c>
      <c r="L598" s="78">
        <f>L599</f>
        <v>0</v>
      </c>
      <c r="M598" s="78">
        <f>M599</f>
        <v>0</v>
      </c>
    </row>
    <row r="599" spans="1:13" s="346" customFormat="1" ht="19.5" customHeight="1">
      <c r="A599" s="123" t="s">
        <v>767</v>
      </c>
      <c r="B599" s="347">
        <v>111</v>
      </c>
      <c r="C599" s="112" t="s">
        <v>79</v>
      </c>
      <c r="D599" s="111" t="s">
        <v>153</v>
      </c>
      <c r="E599" s="111" t="s">
        <v>139</v>
      </c>
      <c r="F599" s="111" t="s">
        <v>153</v>
      </c>
      <c r="G599" s="111" t="s">
        <v>162</v>
      </c>
      <c r="H599" s="111" t="s">
        <v>766</v>
      </c>
      <c r="I599" s="78">
        <f>1800+160</f>
        <v>1960</v>
      </c>
      <c r="J599" s="78">
        <f>1800+160</f>
        <v>1960</v>
      </c>
      <c r="K599" s="348">
        <f t="shared" si="69"/>
        <v>0</v>
      </c>
      <c r="L599" s="78"/>
      <c r="M599" s="78"/>
    </row>
    <row r="600" spans="1:13" s="346" customFormat="1" ht="50.25" customHeight="1">
      <c r="A600" s="123" t="s">
        <v>1126</v>
      </c>
      <c r="B600" s="347">
        <v>111</v>
      </c>
      <c r="C600" s="112" t="s">
        <v>79</v>
      </c>
      <c r="D600" s="111" t="s">
        <v>153</v>
      </c>
      <c r="E600" s="111" t="s">
        <v>139</v>
      </c>
      <c r="F600" s="111" t="s">
        <v>153</v>
      </c>
      <c r="G600" s="111" t="s">
        <v>1125</v>
      </c>
      <c r="H600" s="111"/>
      <c r="I600" s="78">
        <f>I601</f>
        <v>294.9</v>
      </c>
      <c r="J600" s="78">
        <f>J601</f>
        <v>294.9</v>
      </c>
      <c r="K600" s="348">
        <f t="shared" si="69"/>
        <v>0</v>
      </c>
      <c r="L600" s="78">
        <f>L601</f>
        <v>0</v>
      </c>
      <c r="M600" s="78">
        <f>M601</f>
        <v>0</v>
      </c>
    </row>
    <row r="601" spans="1:13" s="346" customFormat="1" ht="19.5" customHeight="1">
      <c r="A601" s="123" t="s">
        <v>767</v>
      </c>
      <c r="B601" s="347">
        <v>111</v>
      </c>
      <c r="C601" s="112" t="s">
        <v>79</v>
      </c>
      <c r="D601" s="111" t="s">
        <v>153</v>
      </c>
      <c r="E601" s="111" t="s">
        <v>139</v>
      </c>
      <c r="F601" s="111" t="s">
        <v>153</v>
      </c>
      <c r="G601" s="111" t="s">
        <v>1125</v>
      </c>
      <c r="H601" s="111" t="s">
        <v>766</v>
      </c>
      <c r="I601" s="78">
        <f>495-200.1</f>
        <v>294.9</v>
      </c>
      <c r="J601" s="78">
        <f>495-200.1</f>
        <v>294.9</v>
      </c>
      <c r="K601" s="348">
        <f t="shared" si="69"/>
        <v>0</v>
      </c>
      <c r="L601" s="78">
        <f>L602</f>
        <v>0</v>
      </c>
      <c r="M601" s="78"/>
    </row>
    <row r="602" spans="1:13" ht="23.25" customHeight="1">
      <c r="A602" s="124" t="s">
        <v>163</v>
      </c>
      <c r="B602" s="347">
        <v>111</v>
      </c>
      <c r="C602" s="112" t="s">
        <v>79</v>
      </c>
      <c r="D602" s="111" t="s">
        <v>153</v>
      </c>
      <c r="E602" s="111" t="s">
        <v>139</v>
      </c>
      <c r="F602" s="111" t="s">
        <v>153</v>
      </c>
      <c r="G602" s="111" t="s">
        <v>164</v>
      </c>
      <c r="H602" s="111"/>
      <c r="I602" s="78">
        <f>I603</f>
        <v>200.1</v>
      </c>
      <c r="J602" s="78">
        <f>J603</f>
        <v>200.1</v>
      </c>
      <c r="K602" s="348">
        <f t="shared" si="69"/>
        <v>0</v>
      </c>
      <c r="L602" s="78">
        <f>L603</f>
        <v>0</v>
      </c>
      <c r="M602" s="78">
        <f>M603</f>
        <v>0</v>
      </c>
    </row>
    <row r="603" spans="1:13" ht="23.25" customHeight="1">
      <c r="A603" s="124" t="s">
        <v>765</v>
      </c>
      <c r="B603" s="347">
        <v>111</v>
      </c>
      <c r="C603" s="112" t="s">
        <v>79</v>
      </c>
      <c r="D603" s="111" t="s">
        <v>153</v>
      </c>
      <c r="E603" s="111" t="s">
        <v>139</v>
      </c>
      <c r="F603" s="111" t="s">
        <v>153</v>
      </c>
      <c r="G603" s="111" t="s">
        <v>164</v>
      </c>
      <c r="H603" s="111" t="s">
        <v>766</v>
      </c>
      <c r="I603" s="78">
        <v>200.1</v>
      </c>
      <c r="J603" s="78">
        <v>200.1</v>
      </c>
      <c r="K603" s="348">
        <f t="shared" si="69"/>
        <v>0</v>
      </c>
      <c r="L603" s="78"/>
      <c r="M603" s="78"/>
    </row>
    <row r="604" spans="1:13" ht="32.25" customHeight="1" hidden="1">
      <c r="A604" s="139" t="s">
        <v>441</v>
      </c>
      <c r="B604" s="343">
        <v>111</v>
      </c>
      <c r="C604" s="107" t="s">
        <v>79</v>
      </c>
      <c r="D604" s="71" t="s">
        <v>442</v>
      </c>
      <c r="E604" s="71" t="s">
        <v>154</v>
      </c>
      <c r="F604" s="71" t="s">
        <v>155</v>
      </c>
      <c r="G604" s="71" t="s">
        <v>156</v>
      </c>
      <c r="H604" s="71"/>
      <c r="I604" s="37">
        <f aca="true" t="shared" si="72" ref="I604:M605">I605</f>
        <v>0</v>
      </c>
      <c r="J604" s="37">
        <f t="shared" si="72"/>
        <v>0</v>
      </c>
      <c r="K604" s="344">
        <f t="shared" si="69"/>
        <v>0</v>
      </c>
      <c r="L604" s="37">
        <f t="shared" si="72"/>
        <v>0</v>
      </c>
      <c r="M604" s="37">
        <f t="shared" si="72"/>
        <v>0</v>
      </c>
    </row>
    <row r="605" spans="1:13" ht="27.75" customHeight="1" hidden="1">
      <c r="A605" s="136" t="s">
        <v>410</v>
      </c>
      <c r="B605" s="343">
        <v>111</v>
      </c>
      <c r="C605" s="107" t="s">
        <v>79</v>
      </c>
      <c r="D605" s="71" t="s">
        <v>442</v>
      </c>
      <c r="E605" s="71" t="s">
        <v>338</v>
      </c>
      <c r="F605" s="71" t="s">
        <v>155</v>
      </c>
      <c r="G605" s="71" t="s">
        <v>156</v>
      </c>
      <c r="H605" s="71"/>
      <c r="I605" s="37">
        <f t="shared" si="72"/>
        <v>0</v>
      </c>
      <c r="J605" s="37">
        <f t="shared" si="72"/>
        <v>0</v>
      </c>
      <c r="K605" s="344">
        <f t="shared" si="69"/>
        <v>0</v>
      </c>
      <c r="L605" s="37">
        <f t="shared" si="72"/>
        <v>0</v>
      </c>
      <c r="M605" s="37">
        <f t="shared" si="72"/>
        <v>0</v>
      </c>
    </row>
    <row r="606" spans="1:13" s="355" customFormat="1" ht="21" customHeight="1" hidden="1">
      <c r="A606" s="139" t="s">
        <v>410</v>
      </c>
      <c r="B606" s="343">
        <v>111</v>
      </c>
      <c r="C606" s="107" t="s">
        <v>79</v>
      </c>
      <c r="D606" s="71" t="s">
        <v>442</v>
      </c>
      <c r="E606" s="71" t="s">
        <v>338</v>
      </c>
      <c r="F606" s="71" t="s">
        <v>153</v>
      </c>
      <c r="G606" s="71" t="s">
        <v>156</v>
      </c>
      <c r="H606" s="71"/>
      <c r="I606" s="37">
        <f aca="true" t="shared" si="73" ref="I606:L607">I607</f>
        <v>0</v>
      </c>
      <c r="J606" s="37">
        <f t="shared" si="73"/>
        <v>0</v>
      </c>
      <c r="K606" s="344">
        <f t="shared" si="69"/>
        <v>0</v>
      </c>
      <c r="L606" s="37">
        <f t="shared" si="73"/>
        <v>0</v>
      </c>
      <c r="M606" s="369"/>
    </row>
    <row r="607" spans="1:13" ht="26.25" customHeight="1" hidden="1">
      <c r="A607" s="121" t="s">
        <v>931</v>
      </c>
      <c r="B607" s="347">
        <v>111</v>
      </c>
      <c r="C607" s="112" t="s">
        <v>79</v>
      </c>
      <c r="D607" s="111" t="s">
        <v>442</v>
      </c>
      <c r="E607" s="111" t="s">
        <v>338</v>
      </c>
      <c r="F607" s="111" t="s">
        <v>153</v>
      </c>
      <c r="G607" s="111" t="s">
        <v>158</v>
      </c>
      <c r="H607" s="111"/>
      <c r="I607" s="78">
        <f t="shared" si="73"/>
        <v>0</v>
      </c>
      <c r="J607" s="78">
        <f t="shared" si="73"/>
        <v>0</v>
      </c>
      <c r="K607" s="348">
        <f t="shared" si="69"/>
        <v>0</v>
      </c>
      <c r="L607" s="78">
        <f t="shared" si="73"/>
        <v>0</v>
      </c>
      <c r="M607" s="78">
        <f>M608</f>
        <v>0</v>
      </c>
    </row>
    <row r="608" spans="1:13" ht="30.75" customHeight="1" hidden="1">
      <c r="A608" s="123" t="s">
        <v>767</v>
      </c>
      <c r="B608" s="347">
        <v>111</v>
      </c>
      <c r="C608" s="112" t="s">
        <v>79</v>
      </c>
      <c r="D608" s="111" t="s">
        <v>442</v>
      </c>
      <c r="E608" s="111" t="s">
        <v>338</v>
      </c>
      <c r="F608" s="111" t="s">
        <v>153</v>
      </c>
      <c r="G608" s="111" t="s">
        <v>158</v>
      </c>
      <c r="H608" s="111" t="s">
        <v>766</v>
      </c>
      <c r="I608" s="78"/>
      <c r="J608" s="331"/>
      <c r="K608" s="348">
        <f t="shared" si="69"/>
        <v>0</v>
      </c>
      <c r="L608" s="78"/>
      <c r="M608" s="78"/>
    </row>
    <row r="609" spans="1:13" s="345" customFormat="1" ht="19.5" customHeight="1">
      <c r="A609" s="137" t="s">
        <v>80</v>
      </c>
      <c r="B609" s="343">
        <v>111</v>
      </c>
      <c r="C609" s="107" t="s">
        <v>81</v>
      </c>
      <c r="D609" s="71"/>
      <c r="E609" s="71"/>
      <c r="F609" s="71"/>
      <c r="G609" s="71"/>
      <c r="H609" s="71"/>
      <c r="I609" s="37">
        <f>I610+I617</f>
        <v>20208.1</v>
      </c>
      <c r="J609" s="37">
        <f>J610+J617</f>
        <v>20208.1</v>
      </c>
      <c r="K609" s="344">
        <f t="shared" si="69"/>
        <v>0</v>
      </c>
      <c r="L609" s="37">
        <f>L610+L617</f>
        <v>0</v>
      </c>
      <c r="M609" s="37">
        <f>M610+M617</f>
        <v>0</v>
      </c>
    </row>
    <row r="610" spans="1:13" s="345" customFormat="1" ht="76.5" customHeight="1">
      <c r="A610" s="137" t="s">
        <v>973</v>
      </c>
      <c r="B610" s="343">
        <v>111</v>
      </c>
      <c r="C610" s="107" t="s">
        <v>81</v>
      </c>
      <c r="D610" s="71" t="s">
        <v>153</v>
      </c>
      <c r="E610" s="71" t="s">
        <v>154</v>
      </c>
      <c r="F610" s="71" t="s">
        <v>155</v>
      </c>
      <c r="G610" s="71" t="s">
        <v>156</v>
      </c>
      <c r="H610" s="71"/>
      <c r="I610" s="37">
        <f>I611</f>
        <v>1068.1</v>
      </c>
      <c r="J610" s="37">
        <f>J611</f>
        <v>1068.1</v>
      </c>
      <c r="K610" s="344">
        <f t="shared" si="69"/>
        <v>0</v>
      </c>
      <c r="L610" s="37">
        <f>L611</f>
        <v>0</v>
      </c>
      <c r="M610" s="37">
        <f>M611</f>
        <v>0</v>
      </c>
    </row>
    <row r="611" spans="1:13" s="345" customFormat="1" ht="32.25" customHeight="1">
      <c r="A611" s="137" t="s">
        <v>157</v>
      </c>
      <c r="B611" s="343">
        <v>111</v>
      </c>
      <c r="C611" s="107" t="s">
        <v>81</v>
      </c>
      <c r="D611" s="71" t="s">
        <v>153</v>
      </c>
      <c r="E611" s="71" t="s">
        <v>136</v>
      </c>
      <c r="F611" s="71" t="s">
        <v>155</v>
      </c>
      <c r="G611" s="71" t="s">
        <v>156</v>
      </c>
      <c r="H611" s="71"/>
      <c r="I611" s="37">
        <f>I612</f>
        <v>1068.1</v>
      </c>
      <c r="J611" s="37">
        <f>J612</f>
        <v>1068.1</v>
      </c>
      <c r="K611" s="344">
        <f t="shared" si="69"/>
        <v>0</v>
      </c>
      <c r="L611" s="37">
        <f>L612</f>
        <v>0</v>
      </c>
      <c r="M611" s="37">
        <f>L612</f>
        <v>0</v>
      </c>
    </row>
    <row r="612" spans="1:13" s="345" customFormat="1" ht="51.75" customHeight="1">
      <c r="A612" s="137" t="s">
        <v>904</v>
      </c>
      <c r="B612" s="343">
        <v>111</v>
      </c>
      <c r="C612" s="107" t="s">
        <v>81</v>
      </c>
      <c r="D612" s="71" t="s">
        <v>153</v>
      </c>
      <c r="E612" s="71" t="s">
        <v>136</v>
      </c>
      <c r="F612" s="71" t="s">
        <v>166</v>
      </c>
      <c r="G612" s="71" t="s">
        <v>156</v>
      </c>
      <c r="H612" s="71"/>
      <c r="I612" s="37">
        <f>I613+I615</f>
        <v>1068.1</v>
      </c>
      <c r="J612" s="37">
        <f>J613+J615</f>
        <v>1068.1</v>
      </c>
      <c r="K612" s="344">
        <f t="shared" si="69"/>
        <v>0</v>
      </c>
      <c r="L612" s="37">
        <f>L613+L615</f>
        <v>0</v>
      </c>
      <c r="M612" s="37">
        <f>M613+M615</f>
        <v>0</v>
      </c>
    </row>
    <row r="613" spans="1:13" s="345" customFormat="1" ht="44.25" customHeight="1">
      <c r="A613" s="371" t="s">
        <v>1009</v>
      </c>
      <c r="B613" s="347">
        <v>111</v>
      </c>
      <c r="C613" s="112" t="s">
        <v>81</v>
      </c>
      <c r="D613" s="111" t="s">
        <v>153</v>
      </c>
      <c r="E613" s="111" t="s">
        <v>136</v>
      </c>
      <c r="F613" s="111" t="s">
        <v>166</v>
      </c>
      <c r="G613" s="111" t="s">
        <v>948</v>
      </c>
      <c r="H613" s="111"/>
      <c r="I613" s="78">
        <f>I614</f>
        <v>610</v>
      </c>
      <c r="J613" s="78">
        <f>J614</f>
        <v>610</v>
      </c>
      <c r="K613" s="348">
        <f t="shared" si="69"/>
        <v>0</v>
      </c>
      <c r="L613" s="78">
        <f>L614</f>
        <v>0</v>
      </c>
      <c r="M613" s="78">
        <f>M614</f>
        <v>0</v>
      </c>
    </row>
    <row r="614" spans="1:13" s="345" customFormat="1" ht="20.25" customHeight="1">
      <c r="A614" s="123" t="s">
        <v>767</v>
      </c>
      <c r="B614" s="347">
        <v>111</v>
      </c>
      <c r="C614" s="112" t="s">
        <v>81</v>
      </c>
      <c r="D614" s="111" t="s">
        <v>153</v>
      </c>
      <c r="E614" s="111" t="s">
        <v>136</v>
      </c>
      <c r="F614" s="111" t="s">
        <v>166</v>
      </c>
      <c r="G614" s="111" t="s">
        <v>948</v>
      </c>
      <c r="H614" s="111" t="s">
        <v>766</v>
      </c>
      <c r="I614" s="78">
        <v>610</v>
      </c>
      <c r="J614" s="78">
        <v>610</v>
      </c>
      <c r="K614" s="348">
        <f t="shared" si="69"/>
        <v>0</v>
      </c>
      <c r="L614" s="78"/>
      <c r="M614" s="78"/>
    </row>
    <row r="615" spans="1:13" s="345" customFormat="1" ht="46.5" customHeight="1">
      <c r="A615" s="115" t="s">
        <v>933</v>
      </c>
      <c r="B615" s="347">
        <v>111</v>
      </c>
      <c r="C615" s="112" t="s">
        <v>81</v>
      </c>
      <c r="D615" s="111" t="s">
        <v>153</v>
      </c>
      <c r="E615" s="111" t="s">
        <v>136</v>
      </c>
      <c r="F615" s="111" t="s">
        <v>166</v>
      </c>
      <c r="G615" s="111" t="s">
        <v>949</v>
      </c>
      <c r="H615" s="111"/>
      <c r="I615" s="78">
        <f>I616</f>
        <v>458.1</v>
      </c>
      <c r="J615" s="78">
        <f>J616</f>
        <v>458.1</v>
      </c>
      <c r="K615" s="348">
        <f t="shared" si="69"/>
        <v>0</v>
      </c>
      <c r="L615" s="78">
        <f>L616</f>
        <v>0</v>
      </c>
      <c r="M615" s="78">
        <f>M616</f>
        <v>0</v>
      </c>
    </row>
    <row r="616" spans="1:13" s="345" customFormat="1" ht="19.5" customHeight="1">
      <c r="A616" s="114" t="s">
        <v>767</v>
      </c>
      <c r="B616" s="347">
        <v>111</v>
      </c>
      <c r="C616" s="112" t="s">
        <v>81</v>
      </c>
      <c r="D616" s="111" t="s">
        <v>153</v>
      </c>
      <c r="E616" s="111" t="s">
        <v>136</v>
      </c>
      <c r="F616" s="111" t="s">
        <v>166</v>
      </c>
      <c r="G616" s="111" t="s">
        <v>949</v>
      </c>
      <c r="H616" s="111" t="s">
        <v>766</v>
      </c>
      <c r="I616" s="78">
        <v>458.1</v>
      </c>
      <c r="J616" s="78">
        <v>458.1</v>
      </c>
      <c r="K616" s="348">
        <f t="shared" si="69"/>
        <v>0</v>
      </c>
      <c r="L616" s="78"/>
      <c r="M616" s="78"/>
    </row>
    <row r="617" spans="1:15" s="355" customFormat="1" ht="15" customHeight="1">
      <c r="A617" s="139" t="s">
        <v>441</v>
      </c>
      <c r="B617" s="343">
        <v>111</v>
      </c>
      <c r="C617" s="107" t="s">
        <v>81</v>
      </c>
      <c r="D617" s="71" t="s">
        <v>442</v>
      </c>
      <c r="E617" s="71" t="s">
        <v>154</v>
      </c>
      <c r="F617" s="71" t="s">
        <v>155</v>
      </c>
      <c r="G617" s="71" t="s">
        <v>156</v>
      </c>
      <c r="H617" s="71"/>
      <c r="I617" s="37">
        <f aca="true" t="shared" si="74" ref="I617:M618">I618</f>
        <v>19140</v>
      </c>
      <c r="J617" s="37">
        <f t="shared" si="74"/>
        <v>19140</v>
      </c>
      <c r="K617" s="344">
        <f t="shared" si="69"/>
        <v>0</v>
      </c>
      <c r="L617" s="37">
        <f t="shared" si="74"/>
        <v>0</v>
      </c>
      <c r="M617" s="37">
        <f t="shared" si="74"/>
        <v>0</v>
      </c>
      <c r="N617" s="327"/>
      <c r="O617" s="327"/>
    </row>
    <row r="618" spans="1:15" s="355" customFormat="1" ht="15" customHeight="1">
      <c r="A618" s="139" t="s">
        <v>410</v>
      </c>
      <c r="B618" s="343">
        <v>111</v>
      </c>
      <c r="C618" s="107" t="s">
        <v>81</v>
      </c>
      <c r="D618" s="71" t="s">
        <v>442</v>
      </c>
      <c r="E618" s="71" t="s">
        <v>338</v>
      </c>
      <c r="F618" s="71" t="s">
        <v>155</v>
      </c>
      <c r="G618" s="71" t="s">
        <v>156</v>
      </c>
      <c r="H618" s="71"/>
      <c r="I618" s="37">
        <f t="shared" si="74"/>
        <v>19140</v>
      </c>
      <c r="J618" s="37">
        <f t="shared" si="74"/>
        <v>19140</v>
      </c>
      <c r="K618" s="344">
        <f t="shared" si="69"/>
        <v>0</v>
      </c>
      <c r="L618" s="37">
        <f t="shared" si="74"/>
        <v>0</v>
      </c>
      <c r="M618" s="37">
        <f t="shared" si="74"/>
        <v>0</v>
      </c>
      <c r="N618" s="327"/>
      <c r="O618" s="327"/>
    </row>
    <row r="619" spans="1:13" s="355" customFormat="1" ht="18" customHeight="1">
      <c r="A619" s="136" t="s">
        <v>410</v>
      </c>
      <c r="B619" s="343">
        <v>111</v>
      </c>
      <c r="C619" s="107" t="s">
        <v>81</v>
      </c>
      <c r="D619" s="71" t="s">
        <v>442</v>
      </c>
      <c r="E619" s="71" t="s">
        <v>338</v>
      </c>
      <c r="F619" s="71" t="s">
        <v>153</v>
      </c>
      <c r="G619" s="71" t="s">
        <v>156</v>
      </c>
      <c r="H619" s="71"/>
      <c r="I619" s="37">
        <f>I622+I624+I626+I620</f>
        <v>19140</v>
      </c>
      <c r="J619" s="37">
        <f>J622+J624+J626+J620</f>
        <v>19140</v>
      </c>
      <c r="K619" s="344">
        <f t="shared" si="69"/>
        <v>0</v>
      </c>
      <c r="L619" s="37">
        <f>L622+L624+L626+L620</f>
        <v>0</v>
      </c>
      <c r="M619" s="37">
        <f>M622+M624+M626+M620</f>
        <v>0</v>
      </c>
    </row>
    <row r="620" spans="1:13" s="355" customFormat="1" ht="51" customHeight="1">
      <c r="A620" s="127" t="s">
        <v>1182</v>
      </c>
      <c r="B620" s="347">
        <v>111</v>
      </c>
      <c r="C620" s="112" t="s">
        <v>81</v>
      </c>
      <c r="D620" s="111" t="s">
        <v>442</v>
      </c>
      <c r="E620" s="111" t="s">
        <v>338</v>
      </c>
      <c r="F620" s="111" t="s">
        <v>153</v>
      </c>
      <c r="G620" s="111" t="s">
        <v>1181</v>
      </c>
      <c r="H620" s="111"/>
      <c r="I620" s="78">
        <f>I621</f>
        <v>17100</v>
      </c>
      <c r="J620" s="78">
        <f>J621</f>
        <v>17100</v>
      </c>
      <c r="K620" s="348">
        <f t="shared" si="69"/>
        <v>0</v>
      </c>
      <c r="L620" s="78">
        <f>L621</f>
        <v>0</v>
      </c>
      <c r="M620" s="78">
        <f>M621</f>
        <v>0</v>
      </c>
    </row>
    <row r="621" spans="1:13" s="355" customFormat="1" ht="18" customHeight="1">
      <c r="A621" s="124" t="s">
        <v>765</v>
      </c>
      <c r="B621" s="347">
        <v>111</v>
      </c>
      <c r="C621" s="112" t="s">
        <v>81</v>
      </c>
      <c r="D621" s="111" t="s">
        <v>442</v>
      </c>
      <c r="E621" s="111" t="s">
        <v>338</v>
      </c>
      <c r="F621" s="111" t="s">
        <v>153</v>
      </c>
      <c r="G621" s="111" t="s">
        <v>1181</v>
      </c>
      <c r="H621" s="111" t="s">
        <v>766</v>
      </c>
      <c r="I621" s="78">
        <v>17100</v>
      </c>
      <c r="J621" s="78">
        <v>17100</v>
      </c>
      <c r="K621" s="348">
        <f t="shared" si="69"/>
        <v>0</v>
      </c>
      <c r="L621" s="78"/>
      <c r="M621" s="78"/>
    </row>
    <row r="622" spans="1:13" ht="48.75" customHeight="1">
      <c r="A622" s="121" t="s">
        <v>210</v>
      </c>
      <c r="B622" s="347">
        <v>111</v>
      </c>
      <c r="C622" s="112" t="s">
        <v>81</v>
      </c>
      <c r="D622" s="111" t="s">
        <v>442</v>
      </c>
      <c r="E622" s="111" t="s">
        <v>338</v>
      </c>
      <c r="F622" s="111" t="s">
        <v>153</v>
      </c>
      <c r="G622" s="111" t="s">
        <v>211</v>
      </c>
      <c r="H622" s="111"/>
      <c r="I622" s="78">
        <f>I623</f>
        <v>2040</v>
      </c>
      <c r="J622" s="78">
        <f>J623</f>
        <v>2040</v>
      </c>
      <c r="K622" s="348">
        <f t="shared" si="69"/>
        <v>0</v>
      </c>
      <c r="L622" s="78">
        <f>L623</f>
        <v>0</v>
      </c>
      <c r="M622" s="78">
        <f>M623</f>
        <v>0</v>
      </c>
    </row>
    <row r="623" spans="1:13" ht="17.25" customHeight="1">
      <c r="A623" s="124" t="s">
        <v>765</v>
      </c>
      <c r="B623" s="347">
        <v>111</v>
      </c>
      <c r="C623" s="112" t="s">
        <v>81</v>
      </c>
      <c r="D623" s="111" t="s">
        <v>442</v>
      </c>
      <c r="E623" s="111" t="s">
        <v>338</v>
      </c>
      <c r="F623" s="111" t="s">
        <v>153</v>
      </c>
      <c r="G623" s="111" t="s">
        <v>211</v>
      </c>
      <c r="H623" s="142">
        <v>500</v>
      </c>
      <c r="I623" s="131">
        <v>2040</v>
      </c>
      <c r="J623" s="131">
        <v>2040</v>
      </c>
      <c r="K623" s="348">
        <f t="shared" si="69"/>
        <v>0</v>
      </c>
      <c r="L623" s="78"/>
      <c r="M623" s="78"/>
    </row>
    <row r="624" spans="1:13" ht="23.25" customHeight="1" hidden="1">
      <c r="A624" s="123" t="s">
        <v>483</v>
      </c>
      <c r="B624" s="347">
        <v>111</v>
      </c>
      <c r="C624" s="112" t="s">
        <v>81</v>
      </c>
      <c r="D624" s="111" t="s">
        <v>442</v>
      </c>
      <c r="E624" s="111" t="s">
        <v>338</v>
      </c>
      <c r="F624" s="111" t="s">
        <v>153</v>
      </c>
      <c r="G624" s="111" t="s">
        <v>484</v>
      </c>
      <c r="H624" s="111"/>
      <c r="I624" s="78">
        <f>I625</f>
        <v>0</v>
      </c>
      <c r="J624" s="78">
        <f>J625</f>
        <v>0</v>
      </c>
      <c r="K624" s="348">
        <f t="shared" si="69"/>
        <v>0</v>
      </c>
      <c r="L624" s="78">
        <f>L625</f>
        <v>0</v>
      </c>
      <c r="M624" s="78">
        <f>M625</f>
        <v>0</v>
      </c>
    </row>
    <row r="625" spans="1:13" ht="19.5" customHeight="1" hidden="1">
      <c r="A625" s="124" t="s">
        <v>765</v>
      </c>
      <c r="B625" s="347">
        <v>111</v>
      </c>
      <c r="C625" s="112" t="s">
        <v>81</v>
      </c>
      <c r="D625" s="111" t="s">
        <v>442</v>
      </c>
      <c r="E625" s="111" t="s">
        <v>338</v>
      </c>
      <c r="F625" s="111" t="s">
        <v>153</v>
      </c>
      <c r="G625" s="111" t="s">
        <v>484</v>
      </c>
      <c r="H625" s="111" t="s">
        <v>766</v>
      </c>
      <c r="I625" s="78"/>
      <c r="J625" s="331"/>
      <c r="K625" s="348">
        <f t="shared" si="69"/>
        <v>0</v>
      </c>
      <c r="L625" s="78"/>
      <c r="M625" s="78"/>
    </row>
    <row r="626" spans="1:13" ht="20.25" customHeight="1" hidden="1">
      <c r="A626" s="124" t="s">
        <v>704</v>
      </c>
      <c r="B626" s="347">
        <v>111</v>
      </c>
      <c r="C626" s="112" t="s">
        <v>81</v>
      </c>
      <c r="D626" s="111" t="s">
        <v>443</v>
      </c>
      <c r="E626" s="111" t="s">
        <v>338</v>
      </c>
      <c r="F626" s="111" t="s">
        <v>153</v>
      </c>
      <c r="G626" s="111" t="s">
        <v>709</v>
      </c>
      <c r="H626" s="111"/>
      <c r="I626" s="78">
        <f>I627</f>
        <v>0</v>
      </c>
      <c r="J626" s="78">
        <f>J627</f>
        <v>0</v>
      </c>
      <c r="K626" s="348">
        <f t="shared" si="69"/>
        <v>0</v>
      </c>
      <c r="L626" s="78">
        <f>L627</f>
        <v>0</v>
      </c>
      <c r="M626" s="78">
        <f>M627</f>
        <v>0</v>
      </c>
    </row>
    <row r="627" spans="1:13" ht="21" customHeight="1" hidden="1">
      <c r="A627" s="124" t="s">
        <v>765</v>
      </c>
      <c r="B627" s="347">
        <v>111</v>
      </c>
      <c r="C627" s="112" t="s">
        <v>81</v>
      </c>
      <c r="D627" s="111" t="s">
        <v>443</v>
      </c>
      <c r="E627" s="111" t="s">
        <v>338</v>
      </c>
      <c r="F627" s="111" t="s">
        <v>153</v>
      </c>
      <c r="G627" s="111" t="s">
        <v>709</v>
      </c>
      <c r="H627" s="111" t="s">
        <v>766</v>
      </c>
      <c r="I627" s="78"/>
      <c r="J627" s="331"/>
      <c r="K627" s="348">
        <f t="shared" si="69"/>
        <v>0</v>
      </c>
      <c r="L627" s="78"/>
      <c r="M627" s="78"/>
    </row>
    <row r="628" spans="1:13" ht="27.75" customHeight="1" hidden="1">
      <c r="A628" s="91" t="s">
        <v>82</v>
      </c>
      <c r="B628" s="343">
        <v>111</v>
      </c>
      <c r="C628" s="107" t="s">
        <v>83</v>
      </c>
      <c r="D628" s="71"/>
      <c r="E628" s="71"/>
      <c r="F628" s="71"/>
      <c r="G628" s="71"/>
      <c r="H628" s="71"/>
      <c r="I628" s="37">
        <f aca="true" t="shared" si="75" ref="I628:M632">I629</f>
        <v>0</v>
      </c>
      <c r="J628" s="37">
        <f t="shared" si="75"/>
        <v>0</v>
      </c>
      <c r="K628" s="344">
        <f t="shared" si="69"/>
        <v>0</v>
      </c>
      <c r="L628" s="37">
        <f t="shared" si="75"/>
        <v>0</v>
      </c>
      <c r="M628" s="37">
        <f t="shared" si="75"/>
        <v>0</v>
      </c>
    </row>
    <row r="629" spans="1:13" ht="26.25" customHeight="1" hidden="1">
      <c r="A629" s="139" t="s">
        <v>441</v>
      </c>
      <c r="B629" s="343">
        <v>111</v>
      </c>
      <c r="C629" s="107" t="s">
        <v>83</v>
      </c>
      <c r="D629" s="71" t="s">
        <v>442</v>
      </c>
      <c r="E629" s="71" t="s">
        <v>154</v>
      </c>
      <c r="F629" s="71" t="s">
        <v>155</v>
      </c>
      <c r="G629" s="71" t="s">
        <v>156</v>
      </c>
      <c r="H629" s="71"/>
      <c r="I629" s="37">
        <f t="shared" si="75"/>
        <v>0</v>
      </c>
      <c r="J629" s="37">
        <f t="shared" si="75"/>
        <v>0</v>
      </c>
      <c r="K629" s="344">
        <f t="shared" si="69"/>
        <v>0</v>
      </c>
      <c r="L629" s="37">
        <f t="shared" si="75"/>
        <v>0</v>
      </c>
      <c r="M629" s="37">
        <f t="shared" si="75"/>
        <v>0</v>
      </c>
    </row>
    <row r="630" spans="1:13" ht="20.25" customHeight="1" hidden="1">
      <c r="A630" s="139" t="s">
        <v>410</v>
      </c>
      <c r="B630" s="343">
        <v>111</v>
      </c>
      <c r="C630" s="107" t="s">
        <v>83</v>
      </c>
      <c r="D630" s="71" t="s">
        <v>442</v>
      </c>
      <c r="E630" s="71" t="s">
        <v>338</v>
      </c>
      <c r="F630" s="71" t="s">
        <v>155</v>
      </c>
      <c r="G630" s="71" t="s">
        <v>156</v>
      </c>
      <c r="H630" s="71"/>
      <c r="I630" s="37">
        <f t="shared" si="75"/>
        <v>0</v>
      </c>
      <c r="J630" s="37">
        <f t="shared" si="75"/>
        <v>0</v>
      </c>
      <c r="K630" s="344">
        <f t="shared" si="69"/>
        <v>0</v>
      </c>
      <c r="L630" s="37">
        <f t="shared" si="75"/>
        <v>0</v>
      </c>
      <c r="M630" s="37">
        <f t="shared" si="75"/>
        <v>0</v>
      </c>
    </row>
    <row r="631" spans="1:13" s="355" customFormat="1" ht="23.25" customHeight="1" hidden="1">
      <c r="A631" s="136" t="s">
        <v>410</v>
      </c>
      <c r="B631" s="343">
        <v>111</v>
      </c>
      <c r="C631" s="107" t="s">
        <v>83</v>
      </c>
      <c r="D631" s="71" t="s">
        <v>442</v>
      </c>
      <c r="E631" s="71" t="s">
        <v>338</v>
      </c>
      <c r="F631" s="71" t="s">
        <v>153</v>
      </c>
      <c r="G631" s="71" t="s">
        <v>156</v>
      </c>
      <c r="H631" s="71"/>
      <c r="I631" s="37">
        <f t="shared" si="75"/>
        <v>0</v>
      </c>
      <c r="J631" s="37">
        <f t="shared" si="75"/>
        <v>0</v>
      </c>
      <c r="K631" s="344">
        <f t="shared" si="69"/>
        <v>0</v>
      </c>
      <c r="L631" s="37">
        <f t="shared" si="75"/>
        <v>0</v>
      </c>
      <c r="M631" s="37">
        <f t="shared" si="75"/>
        <v>0</v>
      </c>
    </row>
    <row r="632" spans="1:13" ht="18" customHeight="1" hidden="1">
      <c r="A632" s="121" t="s">
        <v>210</v>
      </c>
      <c r="B632" s="347">
        <v>111</v>
      </c>
      <c r="C632" s="112" t="s">
        <v>83</v>
      </c>
      <c r="D632" s="111" t="s">
        <v>442</v>
      </c>
      <c r="E632" s="111" t="s">
        <v>338</v>
      </c>
      <c r="F632" s="111" t="s">
        <v>153</v>
      </c>
      <c r="G632" s="111" t="s">
        <v>211</v>
      </c>
      <c r="H632" s="111"/>
      <c r="I632" s="78">
        <f t="shared" si="75"/>
        <v>0</v>
      </c>
      <c r="J632" s="78">
        <f t="shared" si="75"/>
        <v>0</v>
      </c>
      <c r="K632" s="348">
        <f t="shared" si="69"/>
        <v>0</v>
      </c>
      <c r="L632" s="78">
        <f t="shared" si="75"/>
        <v>0</v>
      </c>
      <c r="M632" s="78">
        <f t="shared" si="75"/>
        <v>0</v>
      </c>
    </row>
    <row r="633" spans="1:13" ht="18.75" customHeight="1" hidden="1">
      <c r="A633" s="124" t="s">
        <v>765</v>
      </c>
      <c r="B633" s="347">
        <v>111</v>
      </c>
      <c r="C633" s="112" t="s">
        <v>83</v>
      </c>
      <c r="D633" s="111" t="s">
        <v>442</v>
      </c>
      <c r="E633" s="111" t="s">
        <v>338</v>
      </c>
      <c r="F633" s="111" t="s">
        <v>153</v>
      </c>
      <c r="G633" s="111" t="s">
        <v>211</v>
      </c>
      <c r="H633" s="111" t="s">
        <v>766</v>
      </c>
      <c r="I633" s="78"/>
      <c r="J633" s="331"/>
      <c r="K633" s="348">
        <f t="shared" si="69"/>
        <v>0</v>
      </c>
      <c r="L633" s="78"/>
      <c r="M633" s="78"/>
    </row>
    <row r="634" spans="1:13" ht="22.5" customHeight="1">
      <c r="A634" s="139" t="s">
        <v>102</v>
      </c>
      <c r="B634" s="343" t="s">
        <v>26</v>
      </c>
      <c r="C634" s="107" t="s">
        <v>103</v>
      </c>
      <c r="D634" s="71"/>
      <c r="E634" s="71"/>
      <c r="F634" s="71"/>
      <c r="G634" s="71"/>
      <c r="H634" s="71"/>
      <c r="I634" s="37">
        <f>I635</f>
        <v>5314.6</v>
      </c>
      <c r="J634" s="37">
        <f>J635</f>
        <v>5314.6</v>
      </c>
      <c r="K634" s="344">
        <f t="shared" si="69"/>
        <v>0</v>
      </c>
      <c r="L634" s="37">
        <f>L635</f>
        <v>2029</v>
      </c>
      <c r="M634" s="37">
        <f>M635</f>
        <v>2123.7</v>
      </c>
    </row>
    <row r="635" spans="1:13" ht="21" customHeight="1">
      <c r="A635" s="139" t="s">
        <v>104</v>
      </c>
      <c r="B635" s="343" t="s">
        <v>26</v>
      </c>
      <c r="C635" s="107" t="s">
        <v>105</v>
      </c>
      <c r="D635" s="71"/>
      <c r="E635" s="71"/>
      <c r="F635" s="71"/>
      <c r="G635" s="71"/>
      <c r="H635" s="71"/>
      <c r="I635" s="37">
        <f>I641+I646+I636</f>
        <v>5314.6</v>
      </c>
      <c r="J635" s="37">
        <f>J641+J646+J636</f>
        <v>5314.6</v>
      </c>
      <c r="K635" s="344">
        <f t="shared" si="69"/>
        <v>0</v>
      </c>
      <c r="L635" s="37">
        <f>L641+L646+L636</f>
        <v>2029</v>
      </c>
      <c r="M635" s="37">
        <f>M641+M646+M636</f>
        <v>2123.7</v>
      </c>
    </row>
    <row r="636" spans="1:13" ht="73.5" customHeight="1">
      <c r="A636" s="139" t="s">
        <v>973</v>
      </c>
      <c r="B636" s="343" t="s">
        <v>26</v>
      </c>
      <c r="C636" s="107" t="s">
        <v>105</v>
      </c>
      <c r="D636" s="71" t="s">
        <v>153</v>
      </c>
      <c r="E636" s="71" t="s">
        <v>154</v>
      </c>
      <c r="F636" s="71" t="s">
        <v>155</v>
      </c>
      <c r="G636" s="71" t="s">
        <v>156</v>
      </c>
      <c r="H636" s="71"/>
      <c r="I636" s="37">
        <f aca="true" t="shared" si="76" ref="I636:J639">I637</f>
        <v>202</v>
      </c>
      <c r="J636" s="37">
        <f t="shared" si="76"/>
        <v>202</v>
      </c>
      <c r="K636" s="344">
        <f t="shared" si="69"/>
        <v>0</v>
      </c>
      <c r="L636" s="37">
        <f aca="true" t="shared" si="77" ref="L636:M639">L637</f>
        <v>0</v>
      </c>
      <c r="M636" s="37">
        <f t="shared" si="77"/>
        <v>0</v>
      </c>
    </row>
    <row r="637" spans="1:13" ht="36.75" customHeight="1">
      <c r="A637" s="109" t="s">
        <v>157</v>
      </c>
      <c r="B637" s="343" t="s">
        <v>26</v>
      </c>
      <c r="C637" s="107" t="s">
        <v>105</v>
      </c>
      <c r="D637" s="71" t="s">
        <v>153</v>
      </c>
      <c r="E637" s="71" t="s">
        <v>136</v>
      </c>
      <c r="F637" s="71" t="s">
        <v>155</v>
      </c>
      <c r="G637" s="71" t="s">
        <v>156</v>
      </c>
      <c r="H637" s="71"/>
      <c r="I637" s="37">
        <f t="shared" si="76"/>
        <v>202</v>
      </c>
      <c r="J637" s="37">
        <f t="shared" si="76"/>
        <v>202</v>
      </c>
      <c r="K637" s="344">
        <f t="shared" si="69"/>
        <v>0</v>
      </c>
      <c r="L637" s="37">
        <f t="shared" si="77"/>
        <v>0</v>
      </c>
      <c r="M637" s="37">
        <f t="shared" si="77"/>
        <v>0</v>
      </c>
    </row>
    <row r="638" spans="1:13" ht="48.75" customHeight="1">
      <c r="A638" s="109" t="s">
        <v>904</v>
      </c>
      <c r="B638" s="343" t="s">
        <v>26</v>
      </c>
      <c r="C638" s="107" t="s">
        <v>105</v>
      </c>
      <c r="D638" s="71" t="s">
        <v>153</v>
      </c>
      <c r="E638" s="71" t="s">
        <v>136</v>
      </c>
      <c r="F638" s="71" t="s">
        <v>166</v>
      </c>
      <c r="G638" s="71" t="s">
        <v>156</v>
      </c>
      <c r="H638" s="71"/>
      <c r="I638" s="37">
        <f t="shared" si="76"/>
        <v>202</v>
      </c>
      <c r="J638" s="37">
        <f t="shared" si="76"/>
        <v>202</v>
      </c>
      <c r="K638" s="344">
        <f t="shared" si="69"/>
        <v>0</v>
      </c>
      <c r="L638" s="37">
        <f t="shared" si="77"/>
        <v>0</v>
      </c>
      <c r="M638" s="37">
        <f t="shared" si="77"/>
        <v>0</v>
      </c>
    </row>
    <row r="639" spans="1:13" ht="35.25" customHeight="1">
      <c r="A639" s="114" t="s">
        <v>934</v>
      </c>
      <c r="B639" s="347" t="s">
        <v>26</v>
      </c>
      <c r="C639" s="112" t="s">
        <v>105</v>
      </c>
      <c r="D639" s="111" t="s">
        <v>153</v>
      </c>
      <c r="E639" s="111" t="s">
        <v>136</v>
      </c>
      <c r="F639" s="111" t="s">
        <v>166</v>
      </c>
      <c r="G639" s="111" t="s">
        <v>950</v>
      </c>
      <c r="H639" s="111"/>
      <c r="I639" s="78">
        <f t="shared" si="76"/>
        <v>202</v>
      </c>
      <c r="J639" s="78">
        <f t="shared" si="76"/>
        <v>202</v>
      </c>
      <c r="K639" s="348">
        <f t="shared" si="69"/>
        <v>0</v>
      </c>
      <c r="L639" s="78">
        <f t="shared" si="77"/>
        <v>0</v>
      </c>
      <c r="M639" s="78">
        <f t="shared" si="77"/>
        <v>0</v>
      </c>
    </row>
    <row r="640" spans="1:13" ht="21" customHeight="1">
      <c r="A640" s="114" t="s">
        <v>767</v>
      </c>
      <c r="B640" s="347" t="s">
        <v>26</v>
      </c>
      <c r="C640" s="112" t="s">
        <v>105</v>
      </c>
      <c r="D640" s="111" t="s">
        <v>153</v>
      </c>
      <c r="E640" s="111" t="s">
        <v>136</v>
      </c>
      <c r="F640" s="111" t="s">
        <v>166</v>
      </c>
      <c r="G640" s="111" t="s">
        <v>950</v>
      </c>
      <c r="H640" s="111" t="s">
        <v>766</v>
      </c>
      <c r="I640" s="78">
        <v>202</v>
      </c>
      <c r="J640" s="78">
        <v>202</v>
      </c>
      <c r="K640" s="348">
        <f t="shared" si="69"/>
        <v>0</v>
      </c>
      <c r="L640" s="78"/>
      <c r="M640" s="78"/>
    </row>
    <row r="641" spans="1:13" ht="34.5" customHeight="1">
      <c r="A641" s="139" t="s">
        <v>192</v>
      </c>
      <c r="B641" s="343" t="s">
        <v>26</v>
      </c>
      <c r="C641" s="107" t="s">
        <v>105</v>
      </c>
      <c r="D641" s="71" t="s">
        <v>193</v>
      </c>
      <c r="E641" s="71" t="s">
        <v>154</v>
      </c>
      <c r="F641" s="71" t="s">
        <v>155</v>
      </c>
      <c r="G641" s="71" t="s">
        <v>156</v>
      </c>
      <c r="H641" s="71"/>
      <c r="I641" s="37">
        <f aca="true" t="shared" si="78" ref="I641:M644">I642</f>
        <v>1739.1</v>
      </c>
      <c r="J641" s="37">
        <f t="shared" si="78"/>
        <v>1739.1</v>
      </c>
      <c r="K641" s="344">
        <f t="shared" si="69"/>
        <v>0</v>
      </c>
      <c r="L641" s="37">
        <f t="shared" si="78"/>
        <v>2029</v>
      </c>
      <c r="M641" s="37">
        <f t="shared" si="78"/>
        <v>2123.7</v>
      </c>
    </row>
    <row r="642" spans="1:13" ht="30.75" customHeight="1">
      <c r="A642" s="136" t="s">
        <v>199</v>
      </c>
      <c r="B642" s="343" t="s">
        <v>26</v>
      </c>
      <c r="C642" s="107" t="s">
        <v>105</v>
      </c>
      <c r="D642" s="71" t="s">
        <v>193</v>
      </c>
      <c r="E642" s="71" t="s">
        <v>137</v>
      </c>
      <c r="F642" s="71" t="s">
        <v>155</v>
      </c>
      <c r="G642" s="71" t="s">
        <v>156</v>
      </c>
      <c r="H642" s="71"/>
      <c r="I642" s="37">
        <f t="shared" si="78"/>
        <v>1739.1</v>
      </c>
      <c r="J642" s="37">
        <f t="shared" si="78"/>
        <v>1739.1</v>
      </c>
      <c r="K642" s="344">
        <f t="shared" si="69"/>
        <v>0</v>
      </c>
      <c r="L642" s="37">
        <f t="shared" si="78"/>
        <v>2029</v>
      </c>
      <c r="M642" s="37">
        <f t="shared" si="78"/>
        <v>2123.7</v>
      </c>
    </row>
    <row r="643" spans="1:13" s="355" customFormat="1" ht="34.5" customHeight="1">
      <c r="A643" s="137" t="s">
        <v>892</v>
      </c>
      <c r="B643" s="343" t="s">
        <v>26</v>
      </c>
      <c r="C643" s="107" t="s">
        <v>105</v>
      </c>
      <c r="D643" s="71" t="s">
        <v>193</v>
      </c>
      <c r="E643" s="71" t="s">
        <v>137</v>
      </c>
      <c r="F643" s="71" t="s">
        <v>153</v>
      </c>
      <c r="G643" s="71" t="s">
        <v>156</v>
      </c>
      <c r="H643" s="71"/>
      <c r="I643" s="37">
        <f t="shared" si="78"/>
        <v>1739.1</v>
      </c>
      <c r="J643" s="37">
        <f t="shared" si="78"/>
        <v>1739.1</v>
      </c>
      <c r="K643" s="344">
        <f t="shared" si="69"/>
        <v>0</v>
      </c>
      <c r="L643" s="37">
        <f t="shared" si="78"/>
        <v>2029</v>
      </c>
      <c r="M643" s="37">
        <f t="shared" si="78"/>
        <v>2123.7</v>
      </c>
    </row>
    <row r="644" spans="1:13" ht="36" customHeight="1">
      <c r="A644" s="123" t="s">
        <v>205</v>
      </c>
      <c r="B644" s="347" t="s">
        <v>26</v>
      </c>
      <c r="C644" s="112" t="s">
        <v>105</v>
      </c>
      <c r="D644" s="111" t="s">
        <v>193</v>
      </c>
      <c r="E644" s="111" t="s">
        <v>137</v>
      </c>
      <c r="F644" s="111" t="s">
        <v>153</v>
      </c>
      <c r="G644" s="111" t="s">
        <v>206</v>
      </c>
      <c r="H644" s="111"/>
      <c r="I644" s="78">
        <f t="shared" si="78"/>
        <v>1739.1</v>
      </c>
      <c r="J644" s="78">
        <f t="shared" si="78"/>
        <v>1739.1</v>
      </c>
      <c r="K644" s="348">
        <f t="shared" si="69"/>
        <v>0</v>
      </c>
      <c r="L644" s="78">
        <f t="shared" si="78"/>
        <v>2029</v>
      </c>
      <c r="M644" s="78">
        <f t="shared" si="78"/>
        <v>2123.7</v>
      </c>
    </row>
    <row r="645" spans="1:13" ht="17.25" customHeight="1">
      <c r="A645" s="127" t="s">
        <v>767</v>
      </c>
      <c r="B645" s="347" t="s">
        <v>26</v>
      </c>
      <c r="C645" s="112" t="s">
        <v>105</v>
      </c>
      <c r="D645" s="111" t="s">
        <v>193</v>
      </c>
      <c r="E645" s="111" t="s">
        <v>137</v>
      </c>
      <c r="F645" s="111" t="s">
        <v>153</v>
      </c>
      <c r="G645" s="111" t="s">
        <v>206</v>
      </c>
      <c r="H645" s="111" t="s">
        <v>766</v>
      </c>
      <c r="I645" s="78">
        <f>1479.1+450-190</f>
        <v>1739.1</v>
      </c>
      <c r="J645" s="78">
        <f>1479.1+450-190</f>
        <v>1739.1</v>
      </c>
      <c r="K645" s="348">
        <f t="shared" si="69"/>
        <v>0</v>
      </c>
      <c r="L645" s="78">
        <f>1579+450</f>
        <v>2029</v>
      </c>
      <c r="M645" s="78">
        <f>1673.7+450</f>
        <v>2123.7</v>
      </c>
    </row>
    <row r="646" spans="1:13" ht="17.25" customHeight="1">
      <c r="A646" s="139" t="s">
        <v>441</v>
      </c>
      <c r="B646" s="343">
        <v>111</v>
      </c>
      <c r="C646" s="107" t="s">
        <v>105</v>
      </c>
      <c r="D646" s="71" t="s">
        <v>442</v>
      </c>
      <c r="E646" s="71" t="s">
        <v>154</v>
      </c>
      <c r="F646" s="71" t="s">
        <v>155</v>
      </c>
      <c r="G646" s="71" t="s">
        <v>156</v>
      </c>
      <c r="H646" s="71"/>
      <c r="I646" s="37">
        <f aca="true" t="shared" si="79" ref="I646:M647">I647</f>
        <v>3373.5</v>
      </c>
      <c r="J646" s="37">
        <f t="shared" si="79"/>
        <v>3373.5</v>
      </c>
      <c r="K646" s="344">
        <f t="shared" si="69"/>
        <v>0</v>
      </c>
      <c r="L646" s="37">
        <f t="shared" si="79"/>
        <v>0</v>
      </c>
      <c r="M646" s="37">
        <f t="shared" si="79"/>
        <v>0</v>
      </c>
    </row>
    <row r="647" spans="1:13" ht="18.75" customHeight="1">
      <c r="A647" s="139" t="s">
        <v>410</v>
      </c>
      <c r="B647" s="343">
        <v>111</v>
      </c>
      <c r="C647" s="107" t="s">
        <v>105</v>
      </c>
      <c r="D647" s="71" t="s">
        <v>442</v>
      </c>
      <c r="E647" s="71" t="s">
        <v>338</v>
      </c>
      <c r="F647" s="71" t="s">
        <v>155</v>
      </c>
      <c r="G647" s="71" t="s">
        <v>156</v>
      </c>
      <c r="H647" s="71"/>
      <c r="I647" s="37">
        <f t="shared" si="79"/>
        <v>3373.5</v>
      </c>
      <c r="J647" s="37">
        <f t="shared" si="79"/>
        <v>3373.5</v>
      </c>
      <c r="K647" s="344">
        <f t="shared" si="69"/>
        <v>0</v>
      </c>
      <c r="L647" s="37">
        <f t="shared" si="79"/>
        <v>0</v>
      </c>
      <c r="M647" s="37">
        <f t="shared" si="79"/>
        <v>0</v>
      </c>
    </row>
    <row r="648" spans="1:13" s="355" customFormat="1" ht="17.25" customHeight="1">
      <c r="A648" s="136" t="s">
        <v>410</v>
      </c>
      <c r="B648" s="343">
        <v>111</v>
      </c>
      <c r="C648" s="107" t="s">
        <v>105</v>
      </c>
      <c r="D648" s="71" t="s">
        <v>442</v>
      </c>
      <c r="E648" s="71" t="s">
        <v>338</v>
      </c>
      <c r="F648" s="71" t="s">
        <v>153</v>
      </c>
      <c r="G648" s="71" t="s">
        <v>156</v>
      </c>
      <c r="H648" s="71"/>
      <c r="I648" s="37">
        <f>I649+I651+I653</f>
        <v>3373.5</v>
      </c>
      <c r="J648" s="37">
        <f>J649+J651+J653</f>
        <v>3373.5</v>
      </c>
      <c r="K648" s="344">
        <f aca="true" t="shared" si="80" ref="K648:K713">J648-I648</f>
        <v>0</v>
      </c>
      <c r="L648" s="37">
        <f>L649+L651+L653</f>
        <v>0</v>
      </c>
      <c r="M648" s="37">
        <f>M649+M651+M653</f>
        <v>0</v>
      </c>
    </row>
    <row r="649" spans="1:13" ht="44.25" customHeight="1">
      <c r="A649" s="121" t="s">
        <v>210</v>
      </c>
      <c r="B649" s="347">
        <v>111</v>
      </c>
      <c r="C649" s="112" t="s">
        <v>105</v>
      </c>
      <c r="D649" s="111" t="s">
        <v>442</v>
      </c>
      <c r="E649" s="111" t="s">
        <v>338</v>
      </c>
      <c r="F649" s="111" t="s">
        <v>153</v>
      </c>
      <c r="G649" s="111" t="s">
        <v>211</v>
      </c>
      <c r="H649" s="111"/>
      <c r="I649" s="78">
        <f>I650</f>
        <v>3373.5</v>
      </c>
      <c r="J649" s="78">
        <f>J650</f>
        <v>3373.5</v>
      </c>
      <c r="K649" s="348">
        <f t="shared" si="80"/>
        <v>0</v>
      </c>
      <c r="L649" s="78">
        <f>L650</f>
        <v>0</v>
      </c>
      <c r="M649" s="78">
        <f>M650</f>
        <v>0</v>
      </c>
    </row>
    <row r="650" spans="1:15" ht="19.5" customHeight="1">
      <c r="A650" s="124" t="s">
        <v>765</v>
      </c>
      <c r="B650" s="347">
        <v>111</v>
      </c>
      <c r="C650" s="112" t="s">
        <v>105</v>
      </c>
      <c r="D650" s="111" t="s">
        <v>442</v>
      </c>
      <c r="E650" s="111" t="s">
        <v>338</v>
      </c>
      <c r="F650" s="111" t="s">
        <v>153</v>
      </c>
      <c r="G650" s="111" t="s">
        <v>211</v>
      </c>
      <c r="H650" s="111" t="s">
        <v>766</v>
      </c>
      <c r="I650" s="143">
        <v>3373.5</v>
      </c>
      <c r="J650" s="143">
        <v>3373.5</v>
      </c>
      <c r="K650" s="348">
        <f t="shared" si="80"/>
        <v>0</v>
      </c>
      <c r="L650" s="78"/>
      <c r="M650" s="78"/>
      <c r="N650" s="194"/>
      <c r="O650" s="194"/>
    </row>
    <row r="651" spans="1:15" ht="26.25" customHeight="1" hidden="1">
      <c r="A651" s="123" t="s">
        <v>483</v>
      </c>
      <c r="B651" s="347">
        <v>111</v>
      </c>
      <c r="C651" s="112" t="s">
        <v>105</v>
      </c>
      <c r="D651" s="111" t="s">
        <v>442</v>
      </c>
      <c r="E651" s="111" t="s">
        <v>338</v>
      </c>
      <c r="F651" s="111" t="s">
        <v>153</v>
      </c>
      <c r="G651" s="111" t="s">
        <v>484</v>
      </c>
      <c r="H651" s="111"/>
      <c r="I651" s="78">
        <f>I652</f>
        <v>0</v>
      </c>
      <c r="J651" s="78">
        <f>J652</f>
        <v>0</v>
      </c>
      <c r="K651" s="348">
        <f t="shared" si="80"/>
        <v>0</v>
      </c>
      <c r="L651" s="78">
        <f>L652</f>
        <v>0</v>
      </c>
      <c r="M651" s="78">
        <f>M652</f>
        <v>0</v>
      </c>
      <c r="N651" s="194"/>
      <c r="O651" s="194"/>
    </row>
    <row r="652" spans="1:13" s="194" customFormat="1" ht="30" customHeight="1" hidden="1">
      <c r="A652" s="124" t="s">
        <v>765</v>
      </c>
      <c r="B652" s="347">
        <v>111</v>
      </c>
      <c r="C652" s="112" t="s">
        <v>105</v>
      </c>
      <c r="D652" s="111" t="s">
        <v>442</v>
      </c>
      <c r="E652" s="111" t="s">
        <v>338</v>
      </c>
      <c r="F652" s="111" t="s">
        <v>153</v>
      </c>
      <c r="G652" s="111" t="s">
        <v>484</v>
      </c>
      <c r="H652" s="111" t="s">
        <v>766</v>
      </c>
      <c r="I652" s="78"/>
      <c r="J652" s="143"/>
      <c r="K652" s="348">
        <f t="shared" si="80"/>
        <v>0</v>
      </c>
      <c r="L652" s="78"/>
      <c r="M652" s="78"/>
    </row>
    <row r="653" spans="1:13" s="194" customFormat="1" ht="22.5" customHeight="1" hidden="1">
      <c r="A653" s="124" t="s">
        <v>198</v>
      </c>
      <c r="B653" s="347">
        <v>111</v>
      </c>
      <c r="C653" s="112" t="s">
        <v>105</v>
      </c>
      <c r="D653" s="111" t="s">
        <v>442</v>
      </c>
      <c r="E653" s="111" t="s">
        <v>338</v>
      </c>
      <c r="F653" s="111" t="s">
        <v>153</v>
      </c>
      <c r="G653" s="111" t="s">
        <v>873</v>
      </c>
      <c r="H653" s="111"/>
      <c r="I653" s="131">
        <f>I654</f>
        <v>0</v>
      </c>
      <c r="J653" s="131">
        <f>J654</f>
        <v>0</v>
      </c>
      <c r="K653" s="348">
        <f t="shared" si="80"/>
        <v>0</v>
      </c>
      <c r="L653" s="131">
        <f>L654</f>
        <v>0</v>
      </c>
      <c r="M653" s="131">
        <f>M654</f>
        <v>0</v>
      </c>
    </row>
    <row r="654" spans="1:13" s="194" customFormat="1" ht="26.25" customHeight="1" hidden="1">
      <c r="A654" s="124" t="s">
        <v>765</v>
      </c>
      <c r="B654" s="347">
        <v>111</v>
      </c>
      <c r="C654" s="112" t="s">
        <v>105</v>
      </c>
      <c r="D654" s="111" t="s">
        <v>442</v>
      </c>
      <c r="E654" s="111" t="s">
        <v>338</v>
      </c>
      <c r="F654" s="111" t="s">
        <v>153</v>
      </c>
      <c r="G654" s="111" t="s">
        <v>873</v>
      </c>
      <c r="H654" s="111" t="s">
        <v>766</v>
      </c>
      <c r="I654" s="131"/>
      <c r="J654" s="131"/>
      <c r="K654" s="348">
        <f t="shared" si="80"/>
        <v>0</v>
      </c>
      <c r="L654" s="78"/>
      <c r="M654" s="78"/>
    </row>
    <row r="655" spans="1:13" s="194" customFormat="1" ht="18" customHeight="1">
      <c r="A655" s="165" t="s">
        <v>118</v>
      </c>
      <c r="B655" s="343" t="s">
        <v>26</v>
      </c>
      <c r="C655" s="107" t="s">
        <v>119</v>
      </c>
      <c r="D655" s="71"/>
      <c r="E655" s="71"/>
      <c r="F655" s="71"/>
      <c r="G655" s="71"/>
      <c r="H655" s="71"/>
      <c r="I655" s="37">
        <f aca="true" t="shared" si="81" ref="I655:M660">I656</f>
        <v>1816.4</v>
      </c>
      <c r="J655" s="37">
        <f t="shared" si="81"/>
        <v>1816.4</v>
      </c>
      <c r="K655" s="344">
        <f t="shared" si="80"/>
        <v>0</v>
      </c>
      <c r="L655" s="37">
        <f t="shared" si="81"/>
        <v>0</v>
      </c>
      <c r="M655" s="37">
        <f t="shared" si="81"/>
        <v>0</v>
      </c>
    </row>
    <row r="656" spans="1:15" s="194" customFormat="1" ht="18.75" customHeight="1">
      <c r="A656" s="165" t="s">
        <v>120</v>
      </c>
      <c r="B656" s="343" t="s">
        <v>26</v>
      </c>
      <c r="C656" s="107" t="s">
        <v>121</v>
      </c>
      <c r="D656" s="71"/>
      <c r="E656" s="71"/>
      <c r="F656" s="71"/>
      <c r="G656" s="71"/>
      <c r="H656" s="71"/>
      <c r="I656" s="37">
        <f t="shared" si="81"/>
        <v>1816.4</v>
      </c>
      <c r="J656" s="37">
        <f t="shared" si="81"/>
        <v>1816.4</v>
      </c>
      <c r="K656" s="344">
        <f t="shared" si="80"/>
        <v>0</v>
      </c>
      <c r="L656" s="37">
        <f t="shared" si="81"/>
        <v>0</v>
      </c>
      <c r="M656" s="37">
        <f t="shared" si="81"/>
        <v>0</v>
      </c>
      <c r="N656" s="327"/>
      <c r="O656" s="327"/>
    </row>
    <row r="657" spans="1:13" ht="16.5" customHeight="1">
      <c r="A657" s="139" t="s">
        <v>441</v>
      </c>
      <c r="B657" s="343">
        <v>111</v>
      </c>
      <c r="C657" s="107" t="s">
        <v>121</v>
      </c>
      <c r="D657" s="71" t="s">
        <v>442</v>
      </c>
      <c r="E657" s="71" t="s">
        <v>154</v>
      </c>
      <c r="F657" s="71" t="s">
        <v>155</v>
      </c>
      <c r="G657" s="71" t="s">
        <v>156</v>
      </c>
      <c r="H657" s="71"/>
      <c r="I657" s="37">
        <f t="shared" si="81"/>
        <v>1816.4</v>
      </c>
      <c r="J657" s="37">
        <f t="shared" si="81"/>
        <v>1816.4</v>
      </c>
      <c r="K657" s="344">
        <f t="shared" si="80"/>
        <v>0</v>
      </c>
      <c r="L657" s="37">
        <f t="shared" si="81"/>
        <v>0</v>
      </c>
      <c r="M657" s="37">
        <f t="shared" si="81"/>
        <v>0</v>
      </c>
    </row>
    <row r="658" spans="1:15" ht="18.75" customHeight="1">
      <c r="A658" s="136" t="s">
        <v>410</v>
      </c>
      <c r="B658" s="343">
        <v>111</v>
      </c>
      <c r="C658" s="107" t="s">
        <v>121</v>
      </c>
      <c r="D658" s="71" t="s">
        <v>442</v>
      </c>
      <c r="E658" s="71" t="s">
        <v>338</v>
      </c>
      <c r="F658" s="71" t="s">
        <v>155</v>
      </c>
      <c r="G658" s="71" t="s">
        <v>156</v>
      </c>
      <c r="H658" s="71"/>
      <c r="I658" s="37">
        <f t="shared" si="81"/>
        <v>1816.4</v>
      </c>
      <c r="J658" s="37">
        <f t="shared" si="81"/>
        <v>1816.4</v>
      </c>
      <c r="K658" s="344">
        <f t="shared" si="80"/>
        <v>0</v>
      </c>
      <c r="L658" s="37">
        <f t="shared" si="81"/>
        <v>0</v>
      </c>
      <c r="M658" s="37">
        <f t="shared" si="81"/>
        <v>0</v>
      </c>
      <c r="N658" s="194"/>
      <c r="O658" s="194"/>
    </row>
    <row r="659" spans="1:15" s="355" customFormat="1" ht="18" customHeight="1">
      <c r="A659" s="136" t="s">
        <v>410</v>
      </c>
      <c r="B659" s="343">
        <v>111</v>
      </c>
      <c r="C659" s="107" t="s">
        <v>121</v>
      </c>
      <c r="D659" s="71" t="s">
        <v>442</v>
      </c>
      <c r="E659" s="71" t="s">
        <v>338</v>
      </c>
      <c r="F659" s="71" t="s">
        <v>153</v>
      </c>
      <c r="G659" s="71" t="s">
        <v>156</v>
      </c>
      <c r="H659" s="71"/>
      <c r="I659" s="37">
        <f t="shared" si="81"/>
        <v>1816.4</v>
      </c>
      <c r="J659" s="37">
        <f t="shared" si="81"/>
        <v>1816.4</v>
      </c>
      <c r="K659" s="344">
        <f t="shared" si="80"/>
        <v>0</v>
      </c>
      <c r="L659" s="37">
        <f t="shared" si="81"/>
        <v>0</v>
      </c>
      <c r="M659" s="37">
        <f t="shared" si="81"/>
        <v>0</v>
      </c>
      <c r="N659" s="350"/>
      <c r="O659" s="350"/>
    </row>
    <row r="660" spans="1:13" s="194" customFormat="1" ht="48" customHeight="1">
      <c r="A660" s="121" t="s">
        <v>210</v>
      </c>
      <c r="B660" s="347">
        <v>111</v>
      </c>
      <c r="C660" s="112" t="s">
        <v>121</v>
      </c>
      <c r="D660" s="111" t="s">
        <v>442</v>
      </c>
      <c r="E660" s="111" t="s">
        <v>338</v>
      </c>
      <c r="F660" s="111" t="s">
        <v>153</v>
      </c>
      <c r="G660" s="111" t="s">
        <v>211</v>
      </c>
      <c r="H660" s="111"/>
      <c r="I660" s="78">
        <f t="shared" si="81"/>
        <v>1816.4</v>
      </c>
      <c r="J660" s="78">
        <f t="shared" si="81"/>
        <v>1816.4</v>
      </c>
      <c r="K660" s="348">
        <f t="shared" si="80"/>
        <v>0</v>
      </c>
      <c r="L660" s="78">
        <f t="shared" si="81"/>
        <v>0</v>
      </c>
      <c r="M660" s="78">
        <f t="shared" si="81"/>
        <v>0</v>
      </c>
    </row>
    <row r="661" spans="1:13" s="194" customFormat="1" ht="20.25" customHeight="1">
      <c r="A661" s="124" t="s">
        <v>765</v>
      </c>
      <c r="B661" s="347">
        <v>111</v>
      </c>
      <c r="C661" s="112" t="s">
        <v>121</v>
      </c>
      <c r="D661" s="111" t="s">
        <v>442</v>
      </c>
      <c r="E661" s="111" t="s">
        <v>338</v>
      </c>
      <c r="F661" s="111" t="s">
        <v>153</v>
      </c>
      <c r="G661" s="111" t="s">
        <v>211</v>
      </c>
      <c r="H661" s="111" t="s">
        <v>766</v>
      </c>
      <c r="I661" s="131">
        <v>1816.4</v>
      </c>
      <c r="J661" s="131">
        <v>1816.4</v>
      </c>
      <c r="K661" s="348">
        <f t="shared" si="80"/>
        <v>0</v>
      </c>
      <c r="L661" s="78"/>
      <c r="M661" s="78"/>
    </row>
    <row r="662" spans="1:13" s="345" customFormat="1" ht="21" customHeight="1">
      <c r="A662" s="165" t="s">
        <v>124</v>
      </c>
      <c r="B662" s="343" t="s">
        <v>26</v>
      </c>
      <c r="C662" s="107" t="s">
        <v>125</v>
      </c>
      <c r="D662" s="71"/>
      <c r="E662" s="71"/>
      <c r="F662" s="71"/>
      <c r="G662" s="71"/>
      <c r="H662" s="71"/>
      <c r="I662" s="37">
        <f aca="true" t="shared" si="82" ref="I662:M667">I663</f>
        <v>271.2</v>
      </c>
      <c r="J662" s="37">
        <f t="shared" si="82"/>
        <v>271.2</v>
      </c>
      <c r="K662" s="344">
        <f t="shared" si="80"/>
        <v>0</v>
      </c>
      <c r="L662" s="37">
        <f t="shared" si="82"/>
        <v>277.5</v>
      </c>
      <c r="M662" s="37">
        <f t="shared" si="82"/>
        <v>277.5</v>
      </c>
    </row>
    <row r="663" spans="1:13" s="345" customFormat="1" ht="33.75" customHeight="1">
      <c r="A663" s="165" t="s">
        <v>191</v>
      </c>
      <c r="B663" s="343" t="s">
        <v>26</v>
      </c>
      <c r="C663" s="107" t="s">
        <v>127</v>
      </c>
      <c r="D663" s="71"/>
      <c r="E663" s="71"/>
      <c r="F663" s="71"/>
      <c r="G663" s="71"/>
      <c r="H663" s="71"/>
      <c r="I663" s="37">
        <f t="shared" si="82"/>
        <v>271.2</v>
      </c>
      <c r="J663" s="37">
        <f t="shared" si="82"/>
        <v>271.2</v>
      </c>
      <c r="K663" s="344">
        <f t="shared" si="80"/>
        <v>0</v>
      </c>
      <c r="L663" s="37">
        <f t="shared" si="82"/>
        <v>277.5</v>
      </c>
      <c r="M663" s="37">
        <f t="shared" si="82"/>
        <v>277.5</v>
      </c>
    </row>
    <row r="664" spans="1:13" s="345" customFormat="1" ht="50.25" customHeight="1">
      <c r="A664" s="139" t="s">
        <v>179</v>
      </c>
      <c r="B664" s="343" t="s">
        <v>26</v>
      </c>
      <c r="C664" s="107" t="s">
        <v>127</v>
      </c>
      <c r="D664" s="71" t="s">
        <v>180</v>
      </c>
      <c r="E664" s="71" t="s">
        <v>154</v>
      </c>
      <c r="F664" s="71" t="s">
        <v>155</v>
      </c>
      <c r="G664" s="71" t="s">
        <v>156</v>
      </c>
      <c r="H664" s="71"/>
      <c r="I664" s="37">
        <f t="shared" si="82"/>
        <v>271.2</v>
      </c>
      <c r="J664" s="37">
        <f t="shared" si="82"/>
        <v>271.2</v>
      </c>
      <c r="K664" s="344">
        <f t="shared" si="80"/>
        <v>0</v>
      </c>
      <c r="L664" s="37">
        <f t="shared" si="82"/>
        <v>277.5</v>
      </c>
      <c r="M664" s="37">
        <f t="shared" si="82"/>
        <v>277.5</v>
      </c>
    </row>
    <row r="665" spans="1:13" s="345" customFormat="1" ht="36" customHeight="1">
      <c r="A665" s="136" t="s">
        <v>187</v>
      </c>
      <c r="B665" s="343" t="s">
        <v>26</v>
      </c>
      <c r="C665" s="107" t="s">
        <v>127</v>
      </c>
      <c r="D665" s="71" t="s">
        <v>180</v>
      </c>
      <c r="E665" s="71" t="s">
        <v>137</v>
      </c>
      <c r="F665" s="71" t="s">
        <v>155</v>
      </c>
      <c r="G665" s="71" t="s">
        <v>156</v>
      </c>
      <c r="H665" s="71"/>
      <c r="I665" s="37">
        <f t="shared" si="82"/>
        <v>271.2</v>
      </c>
      <c r="J665" s="37">
        <f t="shared" si="82"/>
        <v>271.2</v>
      </c>
      <c r="K665" s="344">
        <f t="shared" si="80"/>
        <v>0</v>
      </c>
      <c r="L665" s="37">
        <f t="shared" si="82"/>
        <v>277.5</v>
      </c>
      <c r="M665" s="37">
        <f t="shared" si="82"/>
        <v>277.5</v>
      </c>
    </row>
    <row r="666" spans="1:13" s="345" customFormat="1" ht="33.75" customHeight="1">
      <c r="A666" s="136" t="s">
        <v>188</v>
      </c>
      <c r="B666" s="343" t="s">
        <v>26</v>
      </c>
      <c r="C666" s="107" t="s">
        <v>127</v>
      </c>
      <c r="D666" s="71" t="s">
        <v>180</v>
      </c>
      <c r="E666" s="71" t="s">
        <v>137</v>
      </c>
      <c r="F666" s="71" t="s">
        <v>153</v>
      </c>
      <c r="G666" s="71" t="s">
        <v>156</v>
      </c>
      <c r="H666" s="71"/>
      <c r="I666" s="37">
        <f t="shared" si="82"/>
        <v>271.2</v>
      </c>
      <c r="J666" s="37">
        <f t="shared" si="82"/>
        <v>271.2</v>
      </c>
      <c r="K666" s="344">
        <f t="shared" si="80"/>
        <v>0</v>
      </c>
      <c r="L666" s="37">
        <f t="shared" si="82"/>
        <v>277.5</v>
      </c>
      <c r="M666" s="37">
        <f t="shared" si="82"/>
        <v>277.5</v>
      </c>
    </row>
    <row r="667" spans="1:13" s="345" customFormat="1" ht="21" customHeight="1">
      <c r="A667" s="123" t="s">
        <v>189</v>
      </c>
      <c r="B667" s="347" t="s">
        <v>26</v>
      </c>
      <c r="C667" s="112" t="s">
        <v>127</v>
      </c>
      <c r="D667" s="111" t="s">
        <v>180</v>
      </c>
      <c r="E667" s="111" t="s">
        <v>137</v>
      </c>
      <c r="F667" s="111" t="s">
        <v>153</v>
      </c>
      <c r="G667" s="112" t="s">
        <v>190</v>
      </c>
      <c r="H667" s="129"/>
      <c r="I667" s="78">
        <f t="shared" si="82"/>
        <v>271.2</v>
      </c>
      <c r="J667" s="78">
        <f t="shared" si="82"/>
        <v>271.2</v>
      </c>
      <c r="K667" s="348">
        <f t="shared" si="80"/>
        <v>0</v>
      </c>
      <c r="L667" s="78">
        <f t="shared" si="82"/>
        <v>277.5</v>
      </c>
      <c r="M667" s="78">
        <f t="shared" si="82"/>
        <v>277.5</v>
      </c>
    </row>
    <row r="668" spans="1:13" s="345" customFormat="1" ht="18" customHeight="1">
      <c r="A668" s="123" t="s">
        <v>770</v>
      </c>
      <c r="B668" s="347" t="s">
        <v>26</v>
      </c>
      <c r="C668" s="112" t="s">
        <v>127</v>
      </c>
      <c r="D668" s="111" t="s">
        <v>180</v>
      </c>
      <c r="E668" s="111" t="s">
        <v>137</v>
      </c>
      <c r="F668" s="111" t="s">
        <v>153</v>
      </c>
      <c r="G668" s="112" t="s">
        <v>190</v>
      </c>
      <c r="H668" s="129">
        <v>700</v>
      </c>
      <c r="I668" s="78">
        <v>271.2</v>
      </c>
      <c r="J668" s="78">
        <v>271.2</v>
      </c>
      <c r="K668" s="348">
        <f t="shared" si="80"/>
        <v>0</v>
      </c>
      <c r="L668" s="78">
        <v>277.5</v>
      </c>
      <c r="M668" s="78">
        <v>277.5</v>
      </c>
    </row>
    <row r="669" spans="1:13" s="345" customFormat="1" ht="29.25" customHeight="1">
      <c r="A669" s="165" t="s">
        <v>516</v>
      </c>
      <c r="B669" s="343" t="s">
        <v>26</v>
      </c>
      <c r="C669" s="107" t="s">
        <v>129</v>
      </c>
      <c r="D669" s="71"/>
      <c r="E669" s="71"/>
      <c r="F669" s="71"/>
      <c r="G669" s="71"/>
      <c r="H669" s="71"/>
      <c r="I669" s="37">
        <f>I670+I678</f>
        <v>161195.7</v>
      </c>
      <c r="J669" s="37">
        <f>J670+J678</f>
        <v>166195.7</v>
      </c>
      <c r="K669" s="344">
        <f t="shared" si="80"/>
        <v>5000</v>
      </c>
      <c r="L669" s="37">
        <f>L670+L678</f>
        <v>165874.9</v>
      </c>
      <c r="M669" s="37">
        <f>M670+M678</f>
        <v>169653.1</v>
      </c>
    </row>
    <row r="670" spans="1:13" s="345" customFormat="1" ht="33.75" customHeight="1">
      <c r="A670" s="165" t="s">
        <v>130</v>
      </c>
      <c r="B670" s="343" t="s">
        <v>26</v>
      </c>
      <c r="C670" s="107" t="s">
        <v>131</v>
      </c>
      <c r="D670" s="71"/>
      <c r="E670" s="71"/>
      <c r="F670" s="71"/>
      <c r="G670" s="71"/>
      <c r="H670" s="71"/>
      <c r="I670" s="37">
        <f aca="true" t="shared" si="83" ref="I670:M674">I671</f>
        <v>150695.7</v>
      </c>
      <c r="J670" s="37">
        <f t="shared" si="83"/>
        <v>150695.7</v>
      </c>
      <c r="K670" s="344">
        <f t="shared" si="80"/>
        <v>0</v>
      </c>
      <c r="L670" s="37">
        <f t="shared" si="83"/>
        <v>155374.9</v>
      </c>
      <c r="M670" s="37">
        <f t="shared" si="83"/>
        <v>159153.1</v>
      </c>
    </row>
    <row r="671" spans="1:13" s="345" customFormat="1" ht="50.25" customHeight="1">
      <c r="A671" s="139" t="s">
        <v>179</v>
      </c>
      <c r="B671" s="343" t="s">
        <v>26</v>
      </c>
      <c r="C671" s="107" t="s">
        <v>131</v>
      </c>
      <c r="D671" s="71" t="s">
        <v>180</v>
      </c>
      <c r="E671" s="71" t="s">
        <v>154</v>
      </c>
      <c r="F671" s="71" t="s">
        <v>155</v>
      </c>
      <c r="G671" s="71" t="s">
        <v>156</v>
      </c>
      <c r="H671" s="71"/>
      <c r="I671" s="37">
        <f t="shared" si="83"/>
        <v>150695.7</v>
      </c>
      <c r="J671" s="37">
        <f t="shared" si="83"/>
        <v>150695.7</v>
      </c>
      <c r="K671" s="344">
        <f t="shared" si="80"/>
        <v>0</v>
      </c>
      <c r="L671" s="37">
        <f t="shared" si="83"/>
        <v>155374.9</v>
      </c>
      <c r="M671" s="37">
        <f t="shared" si="83"/>
        <v>159153.1</v>
      </c>
    </row>
    <row r="672" spans="1:15" s="345" customFormat="1" ht="45.75" customHeight="1">
      <c r="A672" s="136" t="s">
        <v>181</v>
      </c>
      <c r="B672" s="343" t="s">
        <v>26</v>
      </c>
      <c r="C672" s="107" t="s">
        <v>131</v>
      </c>
      <c r="D672" s="71" t="s">
        <v>180</v>
      </c>
      <c r="E672" s="71" t="s">
        <v>136</v>
      </c>
      <c r="F672" s="71" t="s">
        <v>155</v>
      </c>
      <c r="G672" s="71" t="s">
        <v>156</v>
      </c>
      <c r="H672" s="71"/>
      <c r="I672" s="37">
        <f t="shared" si="83"/>
        <v>150695.7</v>
      </c>
      <c r="J672" s="37">
        <f t="shared" si="83"/>
        <v>150695.7</v>
      </c>
      <c r="K672" s="344">
        <f t="shared" si="80"/>
        <v>0</v>
      </c>
      <c r="L672" s="37">
        <f t="shared" si="83"/>
        <v>155374.9</v>
      </c>
      <c r="M672" s="37">
        <f t="shared" si="83"/>
        <v>159153.1</v>
      </c>
      <c r="N672" s="350"/>
      <c r="O672" s="350"/>
    </row>
    <row r="673" spans="1:15" s="345" customFormat="1" ht="50.25" customHeight="1">
      <c r="A673" s="137" t="s">
        <v>182</v>
      </c>
      <c r="B673" s="343" t="s">
        <v>26</v>
      </c>
      <c r="C673" s="107" t="s">
        <v>131</v>
      </c>
      <c r="D673" s="107" t="s">
        <v>180</v>
      </c>
      <c r="E673" s="107" t="s">
        <v>136</v>
      </c>
      <c r="F673" s="107" t="s">
        <v>153</v>
      </c>
      <c r="G673" s="107" t="s">
        <v>156</v>
      </c>
      <c r="H673" s="105"/>
      <c r="I673" s="37">
        <f>I674+I676</f>
        <v>150695.7</v>
      </c>
      <c r="J673" s="37">
        <f>J674+J676</f>
        <v>150695.7</v>
      </c>
      <c r="K673" s="344">
        <f t="shared" si="80"/>
        <v>0</v>
      </c>
      <c r="L673" s="37">
        <f>L674+L676</f>
        <v>155374.9</v>
      </c>
      <c r="M673" s="37">
        <f>M674+M676</f>
        <v>159153.1</v>
      </c>
      <c r="N673" s="350"/>
      <c r="O673" s="350"/>
    </row>
    <row r="674" spans="1:15" s="194" customFormat="1" ht="35.25" customHeight="1">
      <c r="A674" s="123" t="s">
        <v>183</v>
      </c>
      <c r="B674" s="347" t="s">
        <v>26</v>
      </c>
      <c r="C674" s="112" t="s">
        <v>131</v>
      </c>
      <c r="D674" s="112" t="s">
        <v>180</v>
      </c>
      <c r="E674" s="112" t="s">
        <v>136</v>
      </c>
      <c r="F674" s="112" t="s">
        <v>153</v>
      </c>
      <c r="G674" s="112" t="s">
        <v>184</v>
      </c>
      <c r="H674" s="129"/>
      <c r="I674" s="78">
        <f t="shared" si="83"/>
        <v>45489.7</v>
      </c>
      <c r="J674" s="78">
        <f t="shared" si="83"/>
        <v>45489.7</v>
      </c>
      <c r="K674" s="348">
        <f t="shared" si="80"/>
        <v>0</v>
      </c>
      <c r="L674" s="78">
        <f t="shared" si="83"/>
        <v>46539.1</v>
      </c>
      <c r="M674" s="78">
        <f t="shared" si="83"/>
        <v>46539.1</v>
      </c>
      <c r="N674" s="192"/>
      <c r="O674" s="192"/>
    </row>
    <row r="675" spans="1:15" s="194" customFormat="1" ht="16.5" customHeight="1">
      <c r="A675" s="123" t="s">
        <v>765</v>
      </c>
      <c r="B675" s="347" t="s">
        <v>26</v>
      </c>
      <c r="C675" s="112" t="s">
        <v>131</v>
      </c>
      <c r="D675" s="112" t="s">
        <v>180</v>
      </c>
      <c r="E675" s="112" t="s">
        <v>136</v>
      </c>
      <c r="F675" s="112" t="s">
        <v>153</v>
      </c>
      <c r="G675" s="112" t="s">
        <v>184</v>
      </c>
      <c r="H675" s="129">
        <v>500</v>
      </c>
      <c r="I675" s="78">
        <v>45489.7</v>
      </c>
      <c r="J675" s="78">
        <v>45489.7</v>
      </c>
      <c r="K675" s="348">
        <f t="shared" si="80"/>
        <v>0</v>
      </c>
      <c r="L675" s="78">
        <v>46539.1</v>
      </c>
      <c r="M675" s="78">
        <v>46539.1</v>
      </c>
      <c r="N675" s="345"/>
      <c r="O675" s="345"/>
    </row>
    <row r="676" spans="1:15" s="192" customFormat="1" ht="63" customHeight="1">
      <c r="A676" s="123" t="s">
        <v>185</v>
      </c>
      <c r="B676" s="347" t="s">
        <v>26</v>
      </c>
      <c r="C676" s="112" t="s">
        <v>131</v>
      </c>
      <c r="D676" s="112" t="s">
        <v>180</v>
      </c>
      <c r="E676" s="112" t="s">
        <v>136</v>
      </c>
      <c r="F676" s="112" t="s">
        <v>153</v>
      </c>
      <c r="G676" s="112" t="s">
        <v>186</v>
      </c>
      <c r="H676" s="129"/>
      <c r="I676" s="78">
        <f>I677</f>
        <v>105206</v>
      </c>
      <c r="J676" s="78">
        <f>J677</f>
        <v>105206</v>
      </c>
      <c r="K676" s="348">
        <f t="shared" si="80"/>
        <v>0</v>
      </c>
      <c r="L676" s="78">
        <f>L677</f>
        <v>108835.8</v>
      </c>
      <c r="M676" s="78">
        <f>M677</f>
        <v>112614</v>
      </c>
      <c r="N676" s="346"/>
      <c r="O676" s="346"/>
    </row>
    <row r="677" spans="1:15" s="345" customFormat="1" ht="21.75" customHeight="1">
      <c r="A677" s="123" t="s">
        <v>765</v>
      </c>
      <c r="B677" s="347" t="s">
        <v>26</v>
      </c>
      <c r="C677" s="112" t="s">
        <v>131</v>
      </c>
      <c r="D677" s="112" t="s">
        <v>180</v>
      </c>
      <c r="E677" s="112" t="s">
        <v>136</v>
      </c>
      <c r="F677" s="112" t="s">
        <v>153</v>
      </c>
      <c r="G677" s="112" t="s">
        <v>186</v>
      </c>
      <c r="H677" s="129">
        <v>500</v>
      </c>
      <c r="I677" s="78">
        <v>105206</v>
      </c>
      <c r="J677" s="78">
        <v>105206</v>
      </c>
      <c r="K677" s="348">
        <f t="shared" si="80"/>
        <v>0</v>
      </c>
      <c r="L677" s="78">
        <v>108835.8</v>
      </c>
      <c r="M677" s="78">
        <v>112614</v>
      </c>
      <c r="N677" s="346"/>
      <c r="O677" s="346"/>
    </row>
    <row r="678" spans="1:13" s="346" customFormat="1" ht="20.25" customHeight="1">
      <c r="A678" s="165" t="s">
        <v>132</v>
      </c>
      <c r="B678" s="343" t="s">
        <v>26</v>
      </c>
      <c r="C678" s="107" t="s">
        <v>133</v>
      </c>
      <c r="D678" s="153"/>
      <c r="E678" s="153"/>
      <c r="F678" s="153"/>
      <c r="G678" s="153"/>
      <c r="H678" s="105"/>
      <c r="I678" s="37">
        <f aca="true" t="shared" si="84" ref="I678:M680">I679</f>
        <v>10500</v>
      </c>
      <c r="J678" s="37">
        <f t="shared" si="84"/>
        <v>15500</v>
      </c>
      <c r="K678" s="344">
        <f t="shared" si="80"/>
        <v>5000</v>
      </c>
      <c r="L678" s="37">
        <f t="shared" si="84"/>
        <v>10500</v>
      </c>
      <c r="M678" s="37">
        <f t="shared" si="84"/>
        <v>10500</v>
      </c>
    </row>
    <row r="679" spans="1:13" s="346" customFormat="1" ht="14.25" customHeight="1">
      <c r="A679" s="139" t="s">
        <v>441</v>
      </c>
      <c r="B679" s="343" t="s">
        <v>26</v>
      </c>
      <c r="C679" s="107" t="s">
        <v>133</v>
      </c>
      <c r="D679" s="107" t="s">
        <v>442</v>
      </c>
      <c r="E679" s="107" t="s">
        <v>154</v>
      </c>
      <c r="F679" s="107" t="s">
        <v>155</v>
      </c>
      <c r="G679" s="107" t="s">
        <v>156</v>
      </c>
      <c r="H679" s="105"/>
      <c r="I679" s="37">
        <f t="shared" si="84"/>
        <v>10500</v>
      </c>
      <c r="J679" s="37">
        <f t="shared" si="84"/>
        <v>15500</v>
      </c>
      <c r="K679" s="344">
        <f t="shared" si="80"/>
        <v>5000</v>
      </c>
      <c r="L679" s="37">
        <f t="shared" si="84"/>
        <v>10500</v>
      </c>
      <c r="M679" s="37">
        <f t="shared" si="84"/>
        <v>10500</v>
      </c>
    </row>
    <row r="680" spans="1:13" s="346" customFormat="1" ht="18.75" customHeight="1">
      <c r="A680" s="136" t="s">
        <v>410</v>
      </c>
      <c r="B680" s="343" t="s">
        <v>26</v>
      </c>
      <c r="C680" s="107" t="s">
        <v>133</v>
      </c>
      <c r="D680" s="107" t="s">
        <v>442</v>
      </c>
      <c r="E680" s="107" t="s">
        <v>338</v>
      </c>
      <c r="F680" s="107" t="s">
        <v>155</v>
      </c>
      <c r="G680" s="107" t="s">
        <v>156</v>
      </c>
      <c r="H680" s="105"/>
      <c r="I680" s="37">
        <f t="shared" si="84"/>
        <v>10500</v>
      </c>
      <c r="J680" s="37">
        <f t="shared" si="84"/>
        <v>15500</v>
      </c>
      <c r="K680" s="344">
        <f t="shared" si="80"/>
        <v>5000</v>
      </c>
      <c r="L680" s="37">
        <f t="shared" si="84"/>
        <v>10500</v>
      </c>
      <c r="M680" s="37">
        <f t="shared" si="84"/>
        <v>10500</v>
      </c>
    </row>
    <row r="681" spans="1:13" s="345" customFormat="1" ht="16.5" customHeight="1">
      <c r="A681" s="136" t="s">
        <v>410</v>
      </c>
      <c r="B681" s="343" t="s">
        <v>26</v>
      </c>
      <c r="C681" s="107" t="s">
        <v>133</v>
      </c>
      <c r="D681" s="107" t="s">
        <v>442</v>
      </c>
      <c r="E681" s="107" t="s">
        <v>338</v>
      </c>
      <c r="F681" s="107" t="s">
        <v>153</v>
      </c>
      <c r="G681" s="107" t="s">
        <v>156</v>
      </c>
      <c r="H681" s="105"/>
      <c r="I681" s="37">
        <f>I682+I684+I686+I688+I690</f>
        <v>10500</v>
      </c>
      <c r="J681" s="37">
        <f>J682+J684+J686+J688+J690</f>
        <v>15500</v>
      </c>
      <c r="K681" s="344">
        <f t="shared" si="80"/>
        <v>5000</v>
      </c>
      <c r="L681" s="37">
        <f>L682+L684+L686+L688+L690</f>
        <v>10500</v>
      </c>
      <c r="M681" s="37">
        <f>M682+M684+M686+M688+M690</f>
        <v>10500</v>
      </c>
    </row>
    <row r="682" spans="1:13" s="346" customFormat="1" ht="44.25" customHeight="1" hidden="1">
      <c r="A682" s="123" t="s">
        <v>478</v>
      </c>
      <c r="B682" s="347" t="s">
        <v>26</v>
      </c>
      <c r="C682" s="112" t="s">
        <v>133</v>
      </c>
      <c r="D682" s="112" t="s">
        <v>442</v>
      </c>
      <c r="E682" s="112" t="s">
        <v>338</v>
      </c>
      <c r="F682" s="112" t="s">
        <v>153</v>
      </c>
      <c r="G682" s="112" t="s">
        <v>479</v>
      </c>
      <c r="H682" s="129"/>
      <c r="I682" s="78">
        <f>I683</f>
        <v>0</v>
      </c>
      <c r="J682" s="78">
        <f>J683</f>
        <v>0</v>
      </c>
      <c r="K682" s="348">
        <f t="shared" si="80"/>
        <v>0</v>
      </c>
      <c r="L682" s="78">
        <f>L683</f>
        <v>0</v>
      </c>
      <c r="M682" s="78">
        <f>M683</f>
        <v>0</v>
      </c>
    </row>
    <row r="683" spans="1:13" s="346" customFormat="1" ht="18.75" customHeight="1" hidden="1">
      <c r="A683" s="127" t="s">
        <v>767</v>
      </c>
      <c r="B683" s="347" t="s">
        <v>26</v>
      </c>
      <c r="C683" s="112" t="s">
        <v>133</v>
      </c>
      <c r="D683" s="112" t="s">
        <v>442</v>
      </c>
      <c r="E683" s="112" t="s">
        <v>338</v>
      </c>
      <c r="F683" s="112" t="s">
        <v>153</v>
      </c>
      <c r="G683" s="112" t="s">
        <v>479</v>
      </c>
      <c r="H683" s="129">
        <v>500</v>
      </c>
      <c r="I683" s="78"/>
      <c r="J683" s="351"/>
      <c r="K683" s="348">
        <f t="shared" si="80"/>
        <v>0</v>
      </c>
      <c r="L683" s="78"/>
      <c r="M683" s="78"/>
    </row>
    <row r="684" spans="1:13" s="346" customFormat="1" ht="48" customHeight="1">
      <c r="A684" s="127" t="s">
        <v>701</v>
      </c>
      <c r="B684" s="347" t="s">
        <v>26</v>
      </c>
      <c r="C684" s="112" t="s">
        <v>133</v>
      </c>
      <c r="D684" s="112" t="s">
        <v>442</v>
      </c>
      <c r="E684" s="112" t="s">
        <v>338</v>
      </c>
      <c r="F684" s="112" t="s">
        <v>153</v>
      </c>
      <c r="G684" s="112" t="s">
        <v>553</v>
      </c>
      <c r="H684" s="129"/>
      <c r="I684" s="78">
        <f>I685</f>
        <v>10000</v>
      </c>
      <c r="J684" s="78">
        <f>J685</f>
        <v>15000</v>
      </c>
      <c r="K684" s="348">
        <f t="shared" si="80"/>
        <v>5000</v>
      </c>
      <c r="L684" s="78">
        <f>L685</f>
        <v>10000</v>
      </c>
      <c r="M684" s="78">
        <f>M685</f>
        <v>10000</v>
      </c>
    </row>
    <row r="685" spans="1:13" s="346" customFormat="1" ht="21" customHeight="1">
      <c r="A685" s="127" t="s">
        <v>767</v>
      </c>
      <c r="B685" s="347" t="s">
        <v>26</v>
      </c>
      <c r="C685" s="112" t="s">
        <v>133</v>
      </c>
      <c r="D685" s="112" t="s">
        <v>442</v>
      </c>
      <c r="E685" s="112" t="s">
        <v>338</v>
      </c>
      <c r="F685" s="112" t="s">
        <v>153</v>
      </c>
      <c r="G685" s="112" t="s">
        <v>553</v>
      </c>
      <c r="H685" s="129">
        <v>500</v>
      </c>
      <c r="I685" s="78">
        <v>10000</v>
      </c>
      <c r="J685" s="78">
        <f>10000+5000</f>
        <v>15000</v>
      </c>
      <c r="K685" s="348">
        <f t="shared" si="80"/>
        <v>5000</v>
      </c>
      <c r="L685" s="78">
        <v>10000</v>
      </c>
      <c r="M685" s="78">
        <v>10000</v>
      </c>
    </row>
    <row r="686" spans="1:13" s="346" customFormat="1" ht="36" customHeight="1">
      <c r="A686" s="127" t="s">
        <v>874</v>
      </c>
      <c r="B686" s="347" t="s">
        <v>26</v>
      </c>
      <c r="C686" s="112" t="s">
        <v>133</v>
      </c>
      <c r="D686" s="112" t="s">
        <v>442</v>
      </c>
      <c r="E686" s="112" t="s">
        <v>338</v>
      </c>
      <c r="F686" s="112" t="s">
        <v>153</v>
      </c>
      <c r="G686" s="112" t="s">
        <v>872</v>
      </c>
      <c r="H686" s="129"/>
      <c r="I686" s="78">
        <f>I687</f>
        <v>500</v>
      </c>
      <c r="J686" s="78">
        <f>J687</f>
        <v>500</v>
      </c>
      <c r="K686" s="348">
        <f t="shared" si="80"/>
        <v>0</v>
      </c>
      <c r="L686" s="78">
        <f>L687</f>
        <v>500</v>
      </c>
      <c r="M686" s="78">
        <f>M687</f>
        <v>500</v>
      </c>
    </row>
    <row r="687" spans="1:13" s="346" customFormat="1" ht="21" customHeight="1">
      <c r="A687" s="127" t="s">
        <v>767</v>
      </c>
      <c r="B687" s="347" t="s">
        <v>26</v>
      </c>
      <c r="C687" s="112" t="s">
        <v>133</v>
      </c>
      <c r="D687" s="112" t="s">
        <v>442</v>
      </c>
      <c r="E687" s="112" t="s">
        <v>338</v>
      </c>
      <c r="F687" s="112" t="s">
        <v>153</v>
      </c>
      <c r="G687" s="112" t="s">
        <v>872</v>
      </c>
      <c r="H687" s="129">
        <v>500</v>
      </c>
      <c r="I687" s="78">
        <v>500</v>
      </c>
      <c r="J687" s="78">
        <v>500</v>
      </c>
      <c r="K687" s="348">
        <f t="shared" si="80"/>
        <v>0</v>
      </c>
      <c r="L687" s="78">
        <v>500</v>
      </c>
      <c r="M687" s="78">
        <v>500</v>
      </c>
    </row>
    <row r="688" spans="1:13" s="346" customFormat="1" ht="48" customHeight="1" hidden="1">
      <c r="A688" s="121" t="s">
        <v>210</v>
      </c>
      <c r="B688" s="347">
        <v>111</v>
      </c>
      <c r="C688" s="112" t="s">
        <v>133</v>
      </c>
      <c r="D688" s="112" t="s">
        <v>442</v>
      </c>
      <c r="E688" s="112" t="s">
        <v>338</v>
      </c>
      <c r="F688" s="112" t="s">
        <v>153</v>
      </c>
      <c r="G688" s="112" t="s">
        <v>211</v>
      </c>
      <c r="H688" s="129"/>
      <c r="I688" s="78">
        <f>I689</f>
        <v>0</v>
      </c>
      <c r="J688" s="78">
        <f>J689</f>
        <v>0</v>
      </c>
      <c r="K688" s="348">
        <f t="shared" si="80"/>
        <v>0</v>
      </c>
      <c r="L688" s="78">
        <f>L689</f>
        <v>0</v>
      </c>
      <c r="M688" s="78">
        <f>M689</f>
        <v>0</v>
      </c>
    </row>
    <row r="689" spans="1:13" s="346" customFormat="1" ht="20.25" customHeight="1" hidden="1">
      <c r="A689" s="127" t="s">
        <v>767</v>
      </c>
      <c r="B689" s="347">
        <v>111</v>
      </c>
      <c r="C689" s="112" t="s">
        <v>133</v>
      </c>
      <c r="D689" s="112" t="s">
        <v>442</v>
      </c>
      <c r="E689" s="112" t="s">
        <v>338</v>
      </c>
      <c r="F689" s="112" t="s">
        <v>153</v>
      </c>
      <c r="G689" s="112" t="s">
        <v>211</v>
      </c>
      <c r="H689" s="129">
        <v>500</v>
      </c>
      <c r="I689" s="78"/>
      <c r="J689" s="131"/>
      <c r="K689" s="348">
        <f t="shared" si="80"/>
        <v>0</v>
      </c>
      <c r="L689" s="78"/>
      <c r="M689" s="78"/>
    </row>
    <row r="690" spans="1:13" s="346" customFormat="1" ht="38.25" customHeight="1" hidden="1">
      <c r="A690" s="127" t="s">
        <v>483</v>
      </c>
      <c r="B690" s="347" t="s">
        <v>26</v>
      </c>
      <c r="C690" s="112" t="s">
        <v>133</v>
      </c>
      <c r="D690" s="112" t="s">
        <v>442</v>
      </c>
      <c r="E690" s="112" t="s">
        <v>338</v>
      </c>
      <c r="F690" s="112" t="s">
        <v>153</v>
      </c>
      <c r="G690" s="112" t="s">
        <v>484</v>
      </c>
      <c r="H690" s="129"/>
      <c r="I690" s="78">
        <f>I691</f>
        <v>0</v>
      </c>
      <c r="J690" s="78">
        <f>J691</f>
        <v>0</v>
      </c>
      <c r="K690" s="348">
        <f t="shared" si="80"/>
        <v>0</v>
      </c>
      <c r="L690" s="78">
        <f>L691</f>
        <v>0</v>
      </c>
      <c r="M690" s="78">
        <f>M691</f>
        <v>0</v>
      </c>
    </row>
    <row r="691" spans="1:13" s="346" customFormat="1" ht="44.25" customHeight="1" hidden="1">
      <c r="A691" s="127" t="s">
        <v>767</v>
      </c>
      <c r="B691" s="347" t="s">
        <v>26</v>
      </c>
      <c r="C691" s="112" t="s">
        <v>133</v>
      </c>
      <c r="D691" s="112" t="s">
        <v>442</v>
      </c>
      <c r="E691" s="112" t="s">
        <v>338</v>
      </c>
      <c r="F691" s="112" t="s">
        <v>153</v>
      </c>
      <c r="G691" s="112" t="s">
        <v>484</v>
      </c>
      <c r="H691" s="129">
        <v>500</v>
      </c>
      <c r="I691" s="78"/>
      <c r="J691" s="351"/>
      <c r="K691" s="348">
        <f t="shared" si="80"/>
        <v>0</v>
      </c>
      <c r="L691" s="78"/>
      <c r="M691" s="78"/>
    </row>
    <row r="692" spans="1:13" s="346" customFormat="1" ht="32.25" customHeight="1">
      <c r="A692" s="139" t="s">
        <v>141</v>
      </c>
      <c r="B692" s="343" t="s">
        <v>29</v>
      </c>
      <c r="C692" s="107"/>
      <c r="D692" s="71"/>
      <c r="E692" s="71"/>
      <c r="F692" s="71"/>
      <c r="G692" s="71"/>
      <c r="H692" s="71"/>
      <c r="I692" s="37">
        <f>I693+I723</f>
        <v>16304.099999999999</v>
      </c>
      <c r="J692" s="37">
        <f>J693+J723</f>
        <v>16304.099999999999</v>
      </c>
      <c r="K692" s="344">
        <f t="shared" si="80"/>
        <v>0</v>
      </c>
      <c r="L692" s="37">
        <f>L693+L723</f>
        <v>16102.5</v>
      </c>
      <c r="M692" s="37">
        <f>M693+M723</f>
        <v>17012.9</v>
      </c>
    </row>
    <row r="693" spans="1:13" s="346" customFormat="1" ht="21" customHeight="1">
      <c r="A693" s="139" t="s">
        <v>42</v>
      </c>
      <c r="B693" s="343" t="s">
        <v>29</v>
      </c>
      <c r="C693" s="107" t="s">
        <v>43</v>
      </c>
      <c r="D693" s="71"/>
      <c r="E693" s="71"/>
      <c r="F693" s="71"/>
      <c r="G693" s="71"/>
      <c r="H693" s="71"/>
      <c r="I693" s="37">
        <f>I694</f>
        <v>14548.8</v>
      </c>
      <c r="J693" s="37">
        <f>J694</f>
        <v>14548.8</v>
      </c>
      <c r="K693" s="344">
        <f t="shared" si="80"/>
        <v>0</v>
      </c>
      <c r="L693" s="37">
        <f>L694</f>
        <v>14602.5</v>
      </c>
      <c r="M693" s="37">
        <f>M694</f>
        <v>15225.900000000001</v>
      </c>
    </row>
    <row r="694" spans="1:13" ht="21" customHeight="1">
      <c r="A694" s="139" t="s">
        <v>56</v>
      </c>
      <c r="B694" s="343" t="s">
        <v>29</v>
      </c>
      <c r="C694" s="107" t="s">
        <v>57</v>
      </c>
      <c r="D694" s="71"/>
      <c r="E694" s="71"/>
      <c r="F694" s="71"/>
      <c r="G694" s="71"/>
      <c r="H694" s="71"/>
      <c r="I694" s="37">
        <f>I695+I700+I715</f>
        <v>14548.8</v>
      </c>
      <c r="J694" s="37">
        <f>J695+J700+J715</f>
        <v>14548.8</v>
      </c>
      <c r="K694" s="344">
        <f t="shared" si="80"/>
        <v>0</v>
      </c>
      <c r="L694" s="37">
        <f>L695+L700+L715</f>
        <v>14602.5</v>
      </c>
      <c r="M694" s="37">
        <f>M695+M700+M715</f>
        <v>15225.900000000001</v>
      </c>
    </row>
    <row r="695" spans="1:13" ht="50.25" customHeight="1">
      <c r="A695" s="370" t="s">
        <v>340</v>
      </c>
      <c r="B695" s="343" t="s">
        <v>29</v>
      </c>
      <c r="C695" s="107" t="s">
        <v>57</v>
      </c>
      <c r="D695" s="71" t="s">
        <v>309</v>
      </c>
      <c r="E695" s="71" t="s">
        <v>154</v>
      </c>
      <c r="F695" s="71" t="s">
        <v>155</v>
      </c>
      <c r="G695" s="71" t="s">
        <v>156</v>
      </c>
      <c r="H695" s="71"/>
      <c r="I695" s="37">
        <f aca="true" t="shared" si="85" ref="I695:M698">I696</f>
        <v>45.2</v>
      </c>
      <c r="J695" s="37">
        <f t="shared" si="85"/>
        <v>45.2</v>
      </c>
      <c r="K695" s="344">
        <f t="shared" si="80"/>
        <v>0</v>
      </c>
      <c r="L695" s="37">
        <f t="shared" si="85"/>
        <v>46.8</v>
      </c>
      <c r="M695" s="37">
        <f t="shared" si="85"/>
        <v>48.7</v>
      </c>
    </row>
    <row r="696" spans="1:13" ht="33" customHeight="1">
      <c r="A696" s="136" t="s">
        <v>912</v>
      </c>
      <c r="B696" s="343" t="s">
        <v>29</v>
      </c>
      <c r="C696" s="107" t="s">
        <v>57</v>
      </c>
      <c r="D696" s="71" t="s">
        <v>309</v>
      </c>
      <c r="E696" s="71" t="s">
        <v>139</v>
      </c>
      <c r="F696" s="71" t="s">
        <v>155</v>
      </c>
      <c r="G696" s="71" t="s">
        <v>156</v>
      </c>
      <c r="H696" s="71"/>
      <c r="I696" s="37">
        <f t="shared" si="85"/>
        <v>45.2</v>
      </c>
      <c r="J696" s="37">
        <f t="shared" si="85"/>
        <v>45.2</v>
      </c>
      <c r="K696" s="344">
        <f t="shared" si="80"/>
        <v>0</v>
      </c>
      <c r="L696" s="37">
        <f t="shared" si="85"/>
        <v>46.8</v>
      </c>
      <c r="M696" s="37">
        <f t="shared" si="85"/>
        <v>48.7</v>
      </c>
    </row>
    <row r="697" spans="1:13" s="355" customFormat="1" ht="34.5" customHeight="1">
      <c r="A697" s="136" t="s">
        <v>913</v>
      </c>
      <c r="B697" s="343" t="s">
        <v>29</v>
      </c>
      <c r="C697" s="107" t="s">
        <v>57</v>
      </c>
      <c r="D697" s="71" t="s">
        <v>309</v>
      </c>
      <c r="E697" s="71" t="s">
        <v>139</v>
      </c>
      <c r="F697" s="71" t="s">
        <v>153</v>
      </c>
      <c r="G697" s="71" t="s">
        <v>156</v>
      </c>
      <c r="H697" s="71"/>
      <c r="I697" s="37">
        <f t="shared" si="85"/>
        <v>45.2</v>
      </c>
      <c r="J697" s="37">
        <f t="shared" si="85"/>
        <v>45.2</v>
      </c>
      <c r="K697" s="344">
        <f t="shared" si="80"/>
        <v>0</v>
      </c>
      <c r="L697" s="37">
        <f t="shared" si="85"/>
        <v>46.8</v>
      </c>
      <c r="M697" s="37">
        <f t="shared" si="85"/>
        <v>48.7</v>
      </c>
    </row>
    <row r="698" spans="1:15" ht="37.5" customHeight="1">
      <c r="A698" s="127" t="s">
        <v>352</v>
      </c>
      <c r="B698" s="347" t="s">
        <v>29</v>
      </c>
      <c r="C698" s="112" t="s">
        <v>57</v>
      </c>
      <c r="D698" s="111" t="s">
        <v>309</v>
      </c>
      <c r="E698" s="111" t="s">
        <v>139</v>
      </c>
      <c r="F698" s="111" t="s">
        <v>153</v>
      </c>
      <c r="G698" s="111" t="s">
        <v>353</v>
      </c>
      <c r="H698" s="111"/>
      <c r="I698" s="78">
        <f t="shared" si="85"/>
        <v>45.2</v>
      </c>
      <c r="J698" s="78">
        <f t="shared" si="85"/>
        <v>45.2</v>
      </c>
      <c r="K698" s="348">
        <f t="shared" si="80"/>
        <v>0</v>
      </c>
      <c r="L698" s="78">
        <f t="shared" si="85"/>
        <v>46.8</v>
      </c>
      <c r="M698" s="78">
        <f t="shared" si="85"/>
        <v>48.7</v>
      </c>
      <c r="N698" s="346"/>
      <c r="O698" s="346"/>
    </row>
    <row r="699" spans="1:15" ht="34.5" customHeight="1">
      <c r="A699" s="123" t="s">
        <v>758</v>
      </c>
      <c r="B699" s="347" t="s">
        <v>29</v>
      </c>
      <c r="C699" s="112" t="s">
        <v>57</v>
      </c>
      <c r="D699" s="111" t="s">
        <v>309</v>
      </c>
      <c r="E699" s="111" t="s">
        <v>139</v>
      </c>
      <c r="F699" s="111" t="s">
        <v>153</v>
      </c>
      <c r="G699" s="111" t="s">
        <v>353</v>
      </c>
      <c r="H699" s="111" t="s">
        <v>757</v>
      </c>
      <c r="I699" s="78">
        <v>45.2</v>
      </c>
      <c r="J699" s="78">
        <v>45.2</v>
      </c>
      <c r="K699" s="348">
        <f t="shared" si="80"/>
        <v>0</v>
      </c>
      <c r="L699" s="78">
        <v>46.8</v>
      </c>
      <c r="M699" s="78">
        <v>48.7</v>
      </c>
      <c r="N699" s="346"/>
      <c r="O699" s="346"/>
    </row>
    <row r="700" spans="1:13" s="346" customFormat="1" ht="33" customHeight="1">
      <c r="A700" s="139" t="s">
        <v>407</v>
      </c>
      <c r="B700" s="343" t="s">
        <v>29</v>
      </c>
      <c r="C700" s="107" t="s">
        <v>57</v>
      </c>
      <c r="D700" s="107" t="s">
        <v>408</v>
      </c>
      <c r="E700" s="107" t="s">
        <v>154</v>
      </c>
      <c r="F700" s="107" t="s">
        <v>155</v>
      </c>
      <c r="G700" s="107" t="s">
        <v>156</v>
      </c>
      <c r="H700" s="105"/>
      <c r="I700" s="37">
        <f aca="true" t="shared" si="86" ref="I700:M701">I701</f>
        <v>14203.599999999999</v>
      </c>
      <c r="J700" s="37">
        <f t="shared" si="86"/>
        <v>14203.599999999999</v>
      </c>
      <c r="K700" s="344">
        <f t="shared" si="80"/>
        <v>0</v>
      </c>
      <c r="L700" s="37">
        <f t="shared" si="86"/>
        <v>14205.7</v>
      </c>
      <c r="M700" s="37">
        <f t="shared" si="86"/>
        <v>14777.2</v>
      </c>
    </row>
    <row r="701" spans="1:15" s="346" customFormat="1" ht="33.75" customHeight="1">
      <c r="A701" s="136" t="s">
        <v>508</v>
      </c>
      <c r="B701" s="343" t="s">
        <v>29</v>
      </c>
      <c r="C701" s="107" t="s">
        <v>57</v>
      </c>
      <c r="D701" s="71" t="s">
        <v>408</v>
      </c>
      <c r="E701" s="71" t="s">
        <v>139</v>
      </c>
      <c r="F701" s="71" t="s">
        <v>155</v>
      </c>
      <c r="G701" s="71" t="s">
        <v>156</v>
      </c>
      <c r="H701" s="71"/>
      <c r="I701" s="37">
        <f t="shared" si="86"/>
        <v>14203.599999999999</v>
      </c>
      <c r="J701" s="37">
        <f t="shared" si="86"/>
        <v>14203.599999999999</v>
      </c>
      <c r="K701" s="344">
        <f t="shared" si="80"/>
        <v>0</v>
      </c>
      <c r="L701" s="37">
        <f t="shared" si="86"/>
        <v>14205.7</v>
      </c>
      <c r="M701" s="37">
        <f t="shared" si="86"/>
        <v>14777.2</v>
      </c>
      <c r="N701" s="327"/>
      <c r="O701" s="327"/>
    </row>
    <row r="702" spans="1:15" s="345" customFormat="1" ht="21" customHeight="1">
      <c r="A702" s="137" t="s">
        <v>410</v>
      </c>
      <c r="B702" s="343" t="s">
        <v>29</v>
      </c>
      <c r="C702" s="107" t="s">
        <v>57</v>
      </c>
      <c r="D702" s="107" t="s">
        <v>408</v>
      </c>
      <c r="E702" s="107" t="s">
        <v>139</v>
      </c>
      <c r="F702" s="107" t="s">
        <v>153</v>
      </c>
      <c r="G702" s="107" t="s">
        <v>156</v>
      </c>
      <c r="H702" s="105"/>
      <c r="I702" s="37">
        <f>I703+I709+I711+I707</f>
        <v>14203.599999999999</v>
      </c>
      <c r="J702" s="37">
        <f>J703+J709+J711+J707</f>
        <v>14203.599999999999</v>
      </c>
      <c r="K702" s="344">
        <f t="shared" si="80"/>
        <v>0</v>
      </c>
      <c r="L702" s="37">
        <f>L703+L709+L711+L707</f>
        <v>14205.7</v>
      </c>
      <c r="M702" s="37">
        <f>M703+M709+M711+M707</f>
        <v>14777.2</v>
      </c>
      <c r="N702" s="355"/>
      <c r="O702" s="355"/>
    </row>
    <row r="703" spans="1:13" ht="22.5" customHeight="1">
      <c r="A703" s="123" t="s">
        <v>411</v>
      </c>
      <c r="B703" s="347" t="s">
        <v>29</v>
      </c>
      <c r="C703" s="112" t="s">
        <v>57</v>
      </c>
      <c r="D703" s="112" t="s">
        <v>408</v>
      </c>
      <c r="E703" s="112" t="s">
        <v>139</v>
      </c>
      <c r="F703" s="112" t="s">
        <v>153</v>
      </c>
      <c r="G703" s="112" t="s">
        <v>412</v>
      </c>
      <c r="H703" s="129"/>
      <c r="I703" s="78">
        <f>I704+I705+I706</f>
        <v>14006.8</v>
      </c>
      <c r="J703" s="78">
        <f>J704+J705+J706</f>
        <v>14006.8</v>
      </c>
      <c r="K703" s="348">
        <f t="shared" si="80"/>
        <v>0</v>
      </c>
      <c r="L703" s="78">
        <f>L704+L705+L706</f>
        <v>11700.1</v>
      </c>
      <c r="M703" s="78">
        <f>M704+M705+M706</f>
        <v>12177</v>
      </c>
    </row>
    <row r="704" spans="1:13" ht="66.75" customHeight="1">
      <c r="A704" s="123" t="s">
        <v>755</v>
      </c>
      <c r="B704" s="347" t="s">
        <v>29</v>
      </c>
      <c r="C704" s="112" t="s">
        <v>57</v>
      </c>
      <c r="D704" s="112" t="s">
        <v>408</v>
      </c>
      <c r="E704" s="112" t="s">
        <v>139</v>
      </c>
      <c r="F704" s="112" t="s">
        <v>153</v>
      </c>
      <c r="G704" s="112" t="s">
        <v>412</v>
      </c>
      <c r="H704" s="129">
        <v>100</v>
      </c>
      <c r="I704" s="78">
        <f>13086.3+238.7</f>
        <v>13325</v>
      </c>
      <c r="J704" s="78">
        <f>13086.3+238.7</f>
        <v>13325</v>
      </c>
      <c r="K704" s="348">
        <f t="shared" si="80"/>
        <v>0</v>
      </c>
      <c r="L704" s="78">
        <v>11196</v>
      </c>
      <c r="M704" s="78">
        <v>11643.9</v>
      </c>
    </row>
    <row r="705" spans="1:13" ht="35.25" customHeight="1">
      <c r="A705" s="123" t="s">
        <v>758</v>
      </c>
      <c r="B705" s="347" t="s">
        <v>29</v>
      </c>
      <c r="C705" s="112" t="s">
        <v>57</v>
      </c>
      <c r="D705" s="112" t="s">
        <v>408</v>
      </c>
      <c r="E705" s="112" t="s">
        <v>139</v>
      </c>
      <c r="F705" s="112" t="s">
        <v>153</v>
      </c>
      <c r="G705" s="112" t="s">
        <v>412</v>
      </c>
      <c r="H705" s="129">
        <v>200</v>
      </c>
      <c r="I705" s="78">
        <f>270.2+211.6+200</f>
        <v>681.8</v>
      </c>
      <c r="J705" s="78">
        <f>270.2+211.6+200</f>
        <v>681.8</v>
      </c>
      <c r="K705" s="348">
        <f t="shared" si="80"/>
        <v>0</v>
      </c>
      <c r="L705" s="78">
        <f>281+223.1</f>
        <v>504.1</v>
      </c>
      <c r="M705" s="78">
        <f>292.2+240.9</f>
        <v>533.1</v>
      </c>
    </row>
    <row r="706" spans="1:13" ht="35.25" customHeight="1" hidden="1">
      <c r="A706" s="123" t="s">
        <v>759</v>
      </c>
      <c r="B706" s="347" t="s">
        <v>29</v>
      </c>
      <c r="C706" s="112" t="s">
        <v>57</v>
      </c>
      <c r="D706" s="112" t="s">
        <v>408</v>
      </c>
      <c r="E706" s="112" t="s">
        <v>139</v>
      </c>
      <c r="F706" s="112" t="s">
        <v>153</v>
      </c>
      <c r="G706" s="112" t="s">
        <v>412</v>
      </c>
      <c r="H706" s="129">
        <v>800</v>
      </c>
      <c r="I706" s="78"/>
      <c r="J706" s="78"/>
      <c r="K706" s="348">
        <f t="shared" si="80"/>
        <v>0</v>
      </c>
      <c r="L706" s="78"/>
      <c r="M706" s="78"/>
    </row>
    <row r="707" spans="1:13" ht="50.25" customHeight="1">
      <c r="A707" s="123" t="s">
        <v>1168</v>
      </c>
      <c r="B707" s="347">
        <v>112</v>
      </c>
      <c r="C707" s="112" t="s">
        <v>57</v>
      </c>
      <c r="D707" s="112" t="s">
        <v>408</v>
      </c>
      <c r="E707" s="112" t="s">
        <v>139</v>
      </c>
      <c r="F707" s="112" t="s">
        <v>153</v>
      </c>
      <c r="G707" s="112" t="s">
        <v>1169</v>
      </c>
      <c r="H707" s="129"/>
      <c r="I707" s="78">
        <f>I708</f>
        <v>196.8</v>
      </c>
      <c r="J707" s="78">
        <f>J708</f>
        <v>196.8</v>
      </c>
      <c r="K707" s="348">
        <f t="shared" si="80"/>
        <v>0</v>
      </c>
      <c r="L707" s="78">
        <f>L708</f>
        <v>0</v>
      </c>
      <c r="M707" s="78">
        <f>M708</f>
        <v>0</v>
      </c>
    </row>
    <row r="708" spans="1:13" ht="35.25" customHeight="1">
      <c r="A708" s="123" t="s">
        <v>758</v>
      </c>
      <c r="B708" s="347">
        <v>112</v>
      </c>
      <c r="C708" s="112" t="s">
        <v>57</v>
      </c>
      <c r="D708" s="112" t="s">
        <v>408</v>
      </c>
      <c r="E708" s="112" t="s">
        <v>139</v>
      </c>
      <c r="F708" s="112" t="s">
        <v>153</v>
      </c>
      <c r="G708" s="112" t="s">
        <v>1169</v>
      </c>
      <c r="H708" s="129">
        <v>200</v>
      </c>
      <c r="I708" s="78">
        <v>196.8</v>
      </c>
      <c r="J708" s="78">
        <v>196.8</v>
      </c>
      <c r="K708" s="348">
        <f t="shared" si="80"/>
        <v>0</v>
      </c>
      <c r="L708" s="78"/>
      <c r="M708" s="78"/>
    </row>
    <row r="709" spans="1:13" ht="34.5" customHeight="1" hidden="1">
      <c r="A709" s="121" t="s">
        <v>428</v>
      </c>
      <c r="B709" s="347">
        <v>112</v>
      </c>
      <c r="C709" s="112" t="s">
        <v>57</v>
      </c>
      <c r="D709" s="112" t="s">
        <v>408</v>
      </c>
      <c r="E709" s="112" t="s">
        <v>139</v>
      </c>
      <c r="F709" s="112" t="s">
        <v>153</v>
      </c>
      <c r="G709" s="112" t="s">
        <v>429</v>
      </c>
      <c r="H709" s="129"/>
      <c r="I709" s="78">
        <f>I710</f>
        <v>0</v>
      </c>
      <c r="J709" s="78">
        <f>J710</f>
        <v>0</v>
      </c>
      <c r="K709" s="348">
        <f t="shared" si="80"/>
        <v>0</v>
      </c>
      <c r="L709" s="78">
        <f>L710</f>
        <v>0</v>
      </c>
      <c r="M709" s="78">
        <f>M710</f>
        <v>0</v>
      </c>
    </row>
    <row r="710" spans="1:15" ht="66" customHeight="1" hidden="1">
      <c r="A710" s="121" t="s">
        <v>755</v>
      </c>
      <c r="B710" s="347">
        <v>112</v>
      </c>
      <c r="C710" s="112" t="s">
        <v>57</v>
      </c>
      <c r="D710" s="112" t="s">
        <v>408</v>
      </c>
      <c r="E710" s="112" t="s">
        <v>139</v>
      </c>
      <c r="F710" s="112" t="s">
        <v>153</v>
      </c>
      <c r="G710" s="112" t="s">
        <v>429</v>
      </c>
      <c r="H710" s="129">
        <v>100</v>
      </c>
      <c r="I710" s="78">
        <f>524.1-524.1</f>
        <v>0</v>
      </c>
      <c r="J710" s="78">
        <f>524.1-524.1</f>
        <v>0</v>
      </c>
      <c r="K710" s="348">
        <f t="shared" si="80"/>
        <v>0</v>
      </c>
      <c r="L710" s="78">
        <f>524.1-524.1</f>
        <v>0</v>
      </c>
      <c r="M710" s="78">
        <f>524.1-524.1</f>
        <v>0</v>
      </c>
      <c r="N710" s="345"/>
      <c r="O710" s="345"/>
    </row>
    <row r="711" spans="1:15" ht="51" customHeight="1">
      <c r="A711" s="123" t="s">
        <v>434</v>
      </c>
      <c r="B711" s="347" t="s">
        <v>29</v>
      </c>
      <c r="C711" s="112" t="s">
        <v>57</v>
      </c>
      <c r="D711" s="112" t="s">
        <v>408</v>
      </c>
      <c r="E711" s="112" t="s">
        <v>139</v>
      </c>
      <c r="F711" s="112" t="s">
        <v>153</v>
      </c>
      <c r="G711" s="112" t="s">
        <v>435</v>
      </c>
      <c r="H711" s="143"/>
      <c r="I711" s="78">
        <f>I712+I713+I714</f>
        <v>0</v>
      </c>
      <c r="J711" s="78">
        <f>J712+J713+J714</f>
        <v>0</v>
      </c>
      <c r="K711" s="348">
        <f t="shared" si="80"/>
        <v>0</v>
      </c>
      <c r="L711" s="78">
        <f>L712+L713+L714</f>
        <v>2505.6</v>
      </c>
      <c r="M711" s="78">
        <f>M712+M713+M714</f>
        <v>2600.2</v>
      </c>
      <c r="N711" s="346"/>
      <c r="O711" s="346"/>
    </row>
    <row r="712" spans="1:15" s="345" customFormat="1" ht="66.75" customHeight="1">
      <c r="A712" s="123" t="s">
        <v>755</v>
      </c>
      <c r="B712" s="347" t="s">
        <v>29</v>
      </c>
      <c r="C712" s="112" t="s">
        <v>57</v>
      </c>
      <c r="D712" s="112" t="s">
        <v>408</v>
      </c>
      <c r="E712" s="112" t="s">
        <v>139</v>
      </c>
      <c r="F712" s="112" t="s">
        <v>153</v>
      </c>
      <c r="G712" s="112" t="s">
        <v>435</v>
      </c>
      <c r="H712" s="143">
        <v>100</v>
      </c>
      <c r="I712" s="78"/>
      <c r="J712" s="78"/>
      <c r="K712" s="348">
        <f t="shared" si="80"/>
        <v>0</v>
      </c>
      <c r="L712" s="78">
        <v>2367.4</v>
      </c>
      <c r="M712" s="78">
        <v>2462</v>
      </c>
      <c r="N712" s="346"/>
      <c r="O712" s="346"/>
    </row>
    <row r="713" spans="1:13" s="346" customFormat="1" ht="34.5" customHeight="1">
      <c r="A713" s="123" t="s">
        <v>758</v>
      </c>
      <c r="B713" s="347" t="s">
        <v>29</v>
      </c>
      <c r="C713" s="112" t="s">
        <v>57</v>
      </c>
      <c r="D713" s="112" t="s">
        <v>408</v>
      </c>
      <c r="E713" s="112" t="s">
        <v>139</v>
      </c>
      <c r="F713" s="112" t="s">
        <v>153</v>
      </c>
      <c r="G713" s="112" t="s">
        <v>435</v>
      </c>
      <c r="H713" s="143">
        <v>200</v>
      </c>
      <c r="I713" s="78"/>
      <c r="J713" s="78"/>
      <c r="K713" s="348">
        <f t="shared" si="80"/>
        <v>0</v>
      </c>
      <c r="L713" s="78">
        <v>138.2</v>
      </c>
      <c r="M713" s="78">
        <v>138.2</v>
      </c>
    </row>
    <row r="714" spans="1:13" s="346" customFormat="1" ht="18" customHeight="1" hidden="1">
      <c r="A714" s="123" t="s">
        <v>759</v>
      </c>
      <c r="B714" s="347" t="s">
        <v>29</v>
      </c>
      <c r="C714" s="112" t="s">
        <v>57</v>
      </c>
      <c r="D714" s="112" t="s">
        <v>408</v>
      </c>
      <c r="E714" s="112" t="s">
        <v>139</v>
      </c>
      <c r="F714" s="112" t="s">
        <v>153</v>
      </c>
      <c r="G714" s="112" t="s">
        <v>435</v>
      </c>
      <c r="H714" s="143">
        <v>800</v>
      </c>
      <c r="I714" s="78"/>
      <c r="J714" s="78"/>
      <c r="K714" s="348">
        <f aca="true" t="shared" si="87" ref="K714:K785">J714-I714</f>
        <v>0</v>
      </c>
      <c r="L714" s="78"/>
      <c r="M714" s="78"/>
    </row>
    <row r="715" spans="1:15" s="346" customFormat="1" ht="17.25" customHeight="1">
      <c r="A715" s="139" t="s">
        <v>441</v>
      </c>
      <c r="B715" s="343" t="s">
        <v>29</v>
      </c>
      <c r="C715" s="107" t="s">
        <v>57</v>
      </c>
      <c r="D715" s="107" t="s">
        <v>442</v>
      </c>
      <c r="E715" s="107" t="s">
        <v>154</v>
      </c>
      <c r="F715" s="107" t="s">
        <v>155</v>
      </c>
      <c r="G715" s="107" t="s">
        <v>156</v>
      </c>
      <c r="H715" s="105"/>
      <c r="I715" s="37">
        <f aca="true" t="shared" si="88" ref="I715:M716">I716</f>
        <v>300</v>
      </c>
      <c r="J715" s="37">
        <f t="shared" si="88"/>
        <v>300</v>
      </c>
      <c r="K715" s="344">
        <f t="shared" si="87"/>
        <v>0</v>
      </c>
      <c r="L715" s="37">
        <f t="shared" si="88"/>
        <v>350</v>
      </c>
      <c r="M715" s="37">
        <f t="shared" si="88"/>
        <v>400</v>
      </c>
      <c r="N715" s="327"/>
      <c r="O715" s="327"/>
    </row>
    <row r="716" spans="1:15" s="346" customFormat="1" ht="16.5" customHeight="1">
      <c r="A716" s="136" t="s">
        <v>410</v>
      </c>
      <c r="B716" s="343" t="s">
        <v>29</v>
      </c>
      <c r="C716" s="107" t="s">
        <v>57</v>
      </c>
      <c r="D716" s="71" t="s">
        <v>442</v>
      </c>
      <c r="E716" s="71" t="s">
        <v>338</v>
      </c>
      <c r="F716" s="71" t="s">
        <v>155</v>
      </c>
      <c r="G716" s="71" t="s">
        <v>156</v>
      </c>
      <c r="H716" s="71"/>
      <c r="I716" s="37">
        <f t="shared" si="88"/>
        <v>300</v>
      </c>
      <c r="J716" s="37">
        <f t="shared" si="88"/>
        <v>300</v>
      </c>
      <c r="K716" s="344">
        <f t="shared" si="87"/>
        <v>0</v>
      </c>
      <c r="L716" s="37">
        <f t="shared" si="88"/>
        <v>350</v>
      </c>
      <c r="M716" s="37">
        <f t="shared" si="88"/>
        <v>400</v>
      </c>
      <c r="N716" s="327"/>
      <c r="O716" s="327"/>
    </row>
    <row r="717" spans="1:13" s="355" customFormat="1" ht="19.5" customHeight="1">
      <c r="A717" s="137" t="s">
        <v>410</v>
      </c>
      <c r="B717" s="343" t="s">
        <v>29</v>
      </c>
      <c r="C717" s="107" t="s">
        <v>57</v>
      </c>
      <c r="D717" s="107" t="s">
        <v>442</v>
      </c>
      <c r="E717" s="107" t="s">
        <v>338</v>
      </c>
      <c r="F717" s="107" t="s">
        <v>153</v>
      </c>
      <c r="G717" s="107" t="s">
        <v>156</v>
      </c>
      <c r="H717" s="105"/>
      <c r="I717" s="37">
        <f>I718+I720</f>
        <v>300</v>
      </c>
      <c r="J717" s="37">
        <f>J718+J720</f>
        <v>300</v>
      </c>
      <c r="K717" s="344">
        <f t="shared" si="87"/>
        <v>0</v>
      </c>
      <c r="L717" s="37">
        <f>L718+L720</f>
        <v>350</v>
      </c>
      <c r="M717" s="37">
        <f>M718+M720</f>
        <v>400</v>
      </c>
    </row>
    <row r="718" spans="1:13" ht="36" customHeight="1">
      <c r="A718" s="123" t="s">
        <v>449</v>
      </c>
      <c r="B718" s="347" t="s">
        <v>29</v>
      </c>
      <c r="C718" s="112" t="s">
        <v>57</v>
      </c>
      <c r="D718" s="112" t="s">
        <v>442</v>
      </c>
      <c r="E718" s="112" t="s">
        <v>338</v>
      </c>
      <c r="F718" s="112" t="s">
        <v>153</v>
      </c>
      <c r="G718" s="112" t="s">
        <v>450</v>
      </c>
      <c r="H718" s="129"/>
      <c r="I718" s="78">
        <f>I719</f>
        <v>300</v>
      </c>
      <c r="J718" s="78">
        <f>J719</f>
        <v>300</v>
      </c>
      <c r="K718" s="348">
        <f t="shared" si="87"/>
        <v>0</v>
      </c>
      <c r="L718" s="78">
        <f>L719</f>
        <v>350</v>
      </c>
      <c r="M718" s="78">
        <f>M719</f>
        <v>400</v>
      </c>
    </row>
    <row r="719" spans="1:13" ht="33" customHeight="1">
      <c r="A719" s="123" t="s">
        <v>758</v>
      </c>
      <c r="B719" s="347" t="s">
        <v>29</v>
      </c>
      <c r="C719" s="112" t="s">
        <v>57</v>
      </c>
      <c r="D719" s="112" t="s">
        <v>442</v>
      </c>
      <c r="E719" s="112" t="s">
        <v>338</v>
      </c>
      <c r="F719" s="112" t="s">
        <v>153</v>
      </c>
      <c r="G719" s="112" t="s">
        <v>450</v>
      </c>
      <c r="H719" s="129">
        <v>200</v>
      </c>
      <c r="I719" s="78">
        <v>300</v>
      </c>
      <c r="J719" s="78">
        <v>300</v>
      </c>
      <c r="K719" s="348">
        <f t="shared" si="87"/>
        <v>0</v>
      </c>
      <c r="L719" s="78">
        <v>350</v>
      </c>
      <c r="M719" s="78">
        <v>400</v>
      </c>
    </row>
    <row r="720" spans="1:13" ht="17.25" customHeight="1" hidden="1">
      <c r="A720" s="123" t="s">
        <v>517</v>
      </c>
      <c r="B720" s="347" t="s">
        <v>29</v>
      </c>
      <c r="C720" s="112" t="s">
        <v>57</v>
      </c>
      <c r="D720" s="112" t="s">
        <v>442</v>
      </c>
      <c r="E720" s="112" t="s">
        <v>338</v>
      </c>
      <c r="F720" s="112" t="s">
        <v>153</v>
      </c>
      <c r="G720" s="112" t="s">
        <v>452</v>
      </c>
      <c r="H720" s="129"/>
      <c r="I720" s="78">
        <f>I721+I722</f>
        <v>0</v>
      </c>
      <c r="J720" s="78">
        <f>J721+J722</f>
        <v>0</v>
      </c>
      <c r="K720" s="348">
        <f t="shared" si="87"/>
        <v>0</v>
      </c>
      <c r="L720" s="78">
        <f>L721+L722</f>
        <v>0</v>
      </c>
      <c r="M720" s="78">
        <f>M721+M722</f>
        <v>0</v>
      </c>
    </row>
    <row r="721" spans="1:13" ht="32.25" customHeight="1" hidden="1">
      <c r="A721" s="123" t="s">
        <v>758</v>
      </c>
      <c r="B721" s="347" t="s">
        <v>29</v>
      </c>
      <c r="C721" s="112" t="s">
        <v>57</v>
      </c>
      <c r="D721" s="112" t="s">
        <v>442</v>
      </c>
      <c r="E721" s="112" t="s">
        <v>338</v>
      </c>
      <c r="F721" s="112" t="s">
        <v>153</v>
      </c>
      <c r="G721" s="112" t="s">
        <v>452</v>
      </c>
      <c r="H721" s="129">
        <v>200</v>
      </c>
      <c r="I721" s="78"/>
      <c r="J721" s="78"/>
      <c r="K721" s="348">
        <f t="shared" si="87"/>
        <v>0</v>
      </c>
      <c r="L721" s="78"/>
      <c r="M721" s="78"/>
    </row>
    <row r="722" spans="1:13" ht="17.25" customHeight="1" hidden="1">
      <c r="A722" s="123" t="s">
        <v>759</v>
      </c>
      <c r="B722" s="347" t="s">
        <v>29</v>
      </c>
      <c r="C722" s="112" t="s">
        <v>57</v>
      </c>
      <c r="D722" s="112" t="s">
        <v>442</v>
      </c>
      <c r="E722" s="112" t="s">
        <v>338</v>
      </c>
      <c r="F722" s="112" t="s">
        <v>153</v>
      </c>
      <c r="G722" s="112" t="s">
        <v>452</v>
      </c>
      <c r="H722" s="129">
        <v>800</v>
      </c>
      <c r="I722" s="78"/>
      <c r="J722" s="331"/>
      <c r="K722" s="348">
        <f t="shared" si="87"/>
        <v>0</v>
      </c>
      <c r="L722" s="78"/>
      <c r="M722" s="78"/>
    </row>
    <row r="723" spans="1:15" ht="18" customHeight="1">
      <c r="A723" s="139" t="s">
        <v>62</v>
      </c>
      <c r="B723" s="343">
        <v>112</v>
      </c>
      <c r="C723" s="107" t="s">
        <v>63</v>
      </c>
      <c r="D723" s="107"/>
      <c r="E723" s="107"/>
      <c r="F723" s="107"/>
      <c r="G723" s="107"/>
      <c r="H723" s="105"/>
      <c r="I723" s="37">
        <f>I724+I730</f>
        <v>1755.3</v>
      </c>
      <c r="J723" s="37">
        <f>J724+J730</f>
        <v>1755.3</v>
      </c>
      <c r="K723" s="344">
        <f t="shared" si="87"/>
        <v>0</v>
      </c>
      <c r="L723" s="37">
        <f>L724+L730</f>
        <v>1500</v>
      </c>
      <c r="M723" s="37">
        <f>M724+M730</f>
        <v>1787</v>
      </c>
      <c r="N723" s="355"/>
      <c r="O723" s="355"/>
    </row>
    <row r="724" spans="1:15" ht="17.25" customHeight="1">
      <c r="A724" s="137" t="s">
        <v>68</v>
      </c>
      <c r="B724" s="343">
        <v>112</v>
      </c>
      <c r="C724" s="107" t="s">
        <v>69</v>
      </c>
      <c r="D724" s="107"/>
      <c r="E724" s="107"/>
      <c r="F724" s="107"/>
      <c r="G724" s="107"/>
      <c r="H724" s="105"/>
      <c r="I724" s="37">
        <f aca="true" t="shared" si="89" ref="I724:M728">I725</f>
        <v>500</v>
      </c>
      <c r="J724" s="37">
        <f t="shared" si="89"/>
        <v>500</v>
      </c>
      <c r="K724" s="344">
        <f t="shared" si="87"/>
        <v>0</v>
      </c>
      <c r="L724" s="37">
        <f t="shared" si="89"/>
        <v>800</v>
      </c>
      <c r="M724" s="37">
        <f t="shared" si="89"/>
        <v>900</v>
      </c>
      <c r="N724" s="355"/>
      <c r="O724" s="355"/>
    </row>
    <row r="725" spans="1:15" s="355" customFormat="1" ht="64.5" customHeight="1">
      <c r="A725" s="139" t="s">
        <v>973</v>
      </c>
      <c r="B725" s="343">
        <v>112</v>
      </c>
      <c r="C725" s="107" t="s">
        <v>69</v>
      </c>
      <c r="D725" s="107" t="s">
        <v>153</v>
      </c>
      <c r="E725" s="107" t="s">
        <v>154</v>
      </c>
      <c r="F725" s="107" t="s">
        <v>155</v>
      </c>
      <c r="G725" s="107" t="s">
        <v>156</v>
      </c>
      <c r="H725" s="105"/>
      <c r="I725" s="37">
        <f t="shared" si="89"/>
        <v>500</v>
      </c>
      <c r="J725" s="37">
        <f t="shared" si="89"/>
        <v>500</v>
      </c>
      <c r="K725" s="344">
        <f t="shared" si="87"/>
        <v>0</v>
      </c>
      <c r="L725" s="37">
        <f t="shared" si="89"/>
        <v>800</v>
      </c>
      <c r="M725" s="37">
        <f t="shared" si="89"/>
        <v>900</v>
      </c>
      <c r="O725" s="368"/>
    </row>
    <row r="726" spans="1:13" s="355" customFormat="1" ht="35.25" customHeight="1">
      <c r="A726" s="136" t="s">
        <v>974</v>
      </c>
      <c r="B726" s="343">
        <v>112</v>
      </c>
      <c r="C726" s="107" t="s">
        <v>69</v>
      </c>
      <c r="D726" s="107" t="s">
        <v>153</v>
      </c>
      <c r="E726" s="107" t="s">
        <v>140</v>
      </c>
      <c r="F726" s="107" t="s">
        <v>155</v>
      </c>
      <c r="G726" s="107" t="s">
        <v>156</v>
      </c>
      <c r="H726" s="105"/>
      <c r="I726" s="37">
        <f t="shared" si="89"/>
        <v>500</v>
      </c>
      <c r="J726" s="37">
        <f t="shared" si="89"/>
        <v>500</v>
      </c>
      <c r="K726" s="344">
        <f t="shared" si="87"/>
        <v>0</v>
      </c>
      <c r="L726" s="37">
        <f t="shared" si="89"/>
        <v>800</v>
      </c>
      <c r="M726" s="37">
        <f t="shared" si="89"/>
        <v>900</v>
      </c>
    </row>
    <row r="727" spans="1:13" s="355" customFormat="1" ht="35.25" customHeight="1">
      <c r="A727" s="137" t="s">
        <v>975</v>
      </c>
      <c r="B727" s="343">
        <v>112</v>
      </c>
      <c r="C727" s="107" t="s">
        <v>69</v>
      </c>
      <c r="D727" s="107" t="s">
        <v>153</v>
      </c>
      <c r="E727" s="107" t="s">
        <v>140</v>
      </c>
      <c r="F727" s="107" t="s">
        <v>166</v>
      </c>
      <c r="G727" s="107" t="s">
        <v>156</v>
      </c>
      <c r="H727" s="105"/>
      <c r="I727" s="37">
        <f t="shared" si="89"/>
        <v>500</v>
      </c>
      <c r="J727" s="37">
        <f t="shared" si="89"/>
        <v>500</v>
      </c>
      <c r="K727" s="344">
        <f t="shared" si="87"/>
        <v>0</v>
      </c>
      <c r="L727" s="37">
        <f t="shared" si="89"/>
        <v>800</v>
      </c>
      <c r="M727" s="37">
        <f t="shared" si="89"/>
        <v>900</v>
      </c>
    </row>
    <row r="728" spans="1:13" ht="20.25" customHeight="1">
      <c r="A728" s="123" t="s">
        <v>384</v>
      </c>
      <c r="B728" s="347">
        <v>112</v>
      </c>
      <c r="C728" s="112" t="s">
        <v>69</v>
      </c>
      <c r="D728" s="112" t="s">
        <v>153</v>
      </c>
      <c r="E728" s="112" t="s">
        <v>140</v>
      </c>
      <c r="F728" s="112" t="s">
        <v>166</v>
      </c>
      <c r="G728" s="112" t="s">
        <v>385</v>
      </c>
      <c r="H728" s="129"/>
      <c r="I728" s="78">
        <f t="shared" si="89"/>
        <v>500</v>
      </c>
      <c r="J728" s="78">
        <f t="shared" si="89"/>
        <v>500</v>
      </c>
      <c r="K728" s="348">
        <f t="shared" si="87"/>
        <v>0</v>
      </c>
      <c r="L728" s="78">
        <f t="shared" si="89"/>
        <v>800</v>
      </c>
      <c r="M728" s="78">
        <f t="shared" si="89"/>
        <v>900</v>
      </c>
    </row>
    <row r="729" spans="1:13" ht="34.5" customHeight="1">
      <c r="A729" s="123" t="s">
        <v>758</v>
      </c>
      <c r="B729" s="347">
        <v>112</v>
      </c>
      <c r="C729" s="112" t="s">
        <v>69</v>
      </c>
      <c r="D729" s="112" t="s">
        <v>153</v>
      </c>
      <c r="E729" s="112" t="s">
        <v>140</v>
      </c>
      <c r="F729" s="112" t="s">
        <v>166</v>
      </c>
      <c r="G729" s="112" t="s">
        <v>385</v>
      </c>
      <c r="H729" s="129">
        <v>200</v>
      </c>
      <c r="I729" s="78">
        <f>600-100</f>
        <v>500</v>
      </c>
      <c r="J729" s="78">
        <f>600-100</f>
        <v>500</v>
      </c>
      <c r="K729" s="348">
        <f t="shared" si="87"/>
        <v>0</v>
      </c>
      <c r="L729" s="78">
        <v>800</v>
      </c>
      <c r="M729" s="78">
        <v>900</v>
      </c>
    </row>
    <row r="730" spans="1:13" s="355" customFormat="1" ht="18.75" customHeight="1">
      <c r="A730" s="139" t="s">
        <v>72</v>
      </c>
      <c r="B730" s="343">
        <v>112</v>
      </c>
      <c r="C730" s="107" t="s">
        <v>73</v>
      </c>
      <c r="D730" s="107"/>
      <c r="E730" s="107"/>
      <c r="F730" s="107"/>
      <c r="G730" s="107"/>
      <c r="H730" s="105"/>
      <c r="I730" s="37">
        <f>I736+I731</f>
        <v>1255.3</v>
      </c>
      <c r="J730" s="37">
        <f>J736+J731</f>
        <v>1255.3</v>
      </c>
      <c r="K730" s="344">
        <f t="shared" si="87"/>
        <v>0</v>
      </c>
      <c r="L730" s="37">
        <f>L736+L731</f>
        <v>700</v>
      </c>
      <c r="M730" s="37">
        <f>M736+M731</f>
        <v>887</v>
      </c>
    </row>
    <row r="731" spans="1:13" s="355" customFormat="1" ht="47.25" customHeight="1">
      <c r="A731" s="122" t="s">
        <v>296</v>
      </c>
      <c r="B731" s="343">
        <v>112</v>
      </c>
      <c r="C731" s="107" t="s">
        <v>73</v>
      </c>
      <c r="D731" s="107" t="s">
        <v>297</v>
      </c>
      <c r="E731" s="107" t="s">
        <v>154</v>
      </c>
      <c r="F731" s="107" t="s">
        <v>155</v>
      </c>
      <c r="G731" s="107" t="s">
        <v>156</v>
      </c>
      <c r="H731" s="105"/>
      <c r="I731" s="37">
        <f aca="true" t="shared" si="90" ref="I731:J734">I732</f>
        <v>855.3</v>
      </c>
      <c r="J731" s="37">
        <f t="shared" si="90"/>
        <v>855.3</v>
      </c>
      <c r="K731" s="344">
        <f t="shared" si="87"/>
        <v>0</v>
      </c>
      <c r="L731" s="37">
        <f aca="true" t="shared" si="91" ref="L731:M734">L732</f>
        <v>0</v>
      </c>
      <c r="M731" s="37">
        <f t="shared" si="91"/>
        <v>0</v>
      </c>
    </row>
    <row r="732" spans="1:13" s="355" customFormat="1" ht="48" customHeight="1">
      <c r="A732" s="109" t="s">
        <v>906</v>
      </c>
      <c r="B732" s="343">
        <v>112</v>
      </c>
      <c r="C732" s="107" t="s">
        <v>73</v>
      </c>
      <c r="D732" s="107" t="s">
        <v>297</v>
      </c>
      <c r="E732" s="107" t="s">
        <v>136</v>
      </c>
      <c r="F732" s="107" t="s">
        <v>155</v>
      </c>
      <c r="G732" s="107" t="s">
        <v>156</v>
      </c>
      <c r="H732" s="105"/>
      <c r="I732" s="37">
        <f t="shared" si="90"/>
        <v>855.3</v>
      </c>
      <c r="J732" s="37">
        <f t="shared" si="90"/>
        <v>855.3</v>
      </c>
      <c r="K732" s="344">
        <f t="shared" si="87"/>
        <v>0</v>
      </c>
      <c r="L732" s="37">
        <f t="shared" si="91"/>
        <v>0</v>
      </c>
      <c r="M732" s="37">
        <f t="shared" si="91"/>
        <v>0</v>
      </c>
    </row>
    <row r="733" spans="1:13" s="355" customFormat="1" ht="36.75" customHeight="1">
      <c r="A733" s="139" t="s">
        <v>1148</v>
      </c>
      <c r="B733" s="343">
        <v>112</v>
      </c>
      <c r="C733" s="107" t="s">
        <v>73</v>
      </c>
      <c r="D733" s="107" t="s">
        <v>297</v>
      </c>
      <c r="E733" s="107" t="s">
        <v>136</v>
      </c>
      <c r="F733" s="107" t="s">
        <v>153</v>
      </c>
      <c r="G733" s="107" t="s">
        <v>156</v>
      </c>
      <c r="H733" s="105"/>
      <c r="I733" s="37">
        <f t="shared" si="90"/>
        <v>855.3</v>
      </c>
      <c r="J733" s="37">
        <f t="shared" si="90"/>
        <v>855.3</v>
      </c>
      <c r="K733" s="344">
        <f t="shared" si="87"/>
        <v>0</v>
      </c>
      <c r="L733" s="37">
        <f t="shared" si="91"/>
        <v>0</v>
      </c>
      <c r="M733" s="37">
        <f t="shared" si="91"/>
        <v>0</v>
      </c>
    </row>
    <row r="734" spans="1:13" ht="35.25" customHeight="1">
      <c r="A734" s="121" t="s">
        <v>1149</v>
      </c>
      <c r="B734" s="347">
        <v>112</v>
      </c>
      <c r="C734" s="112" t="s">
        <v>73</v>
      </c>
      <c r="D734" s="112" t="s">
        <v>297</v>
      </c>
      <c r="E734" s="112" t="s">
        <v>136</v>
      </c>
      <c r="F734" s="112" t="s">
        <v>153</v>
      </c>
      <c r="G734" s="112" t="s">
        <v>1150</v>
      </c>
      <c r="H734" s="129"/>
      <c r="I734" s="78">
        <f t="shared" si="90"/>
        <v>855.3</v>
      </c>
      <c r="J734" s="78">
        <f t="shared" si="90"/>
        <v>855.3</v>
      </c>
      <c r="K734" s="348">
        <f t="shared" si="87"/>
        <v>0</v>
      </c>
      <c r="L734" s="78">
        <f t="shared" si="91"/>
        <v>0</v>
      </c>
      <c r="M734" s="78">
        <f t="shared" si="91"/>
        <v>0</v>
      </c>
    </row>
    <row r="735" spans="1:13" ht="35.25" customHeight="1">
      <c r="A735" s="123" t="s">
        <v>758</v>
      </c>
      <c r="B735" s="347">
        <v>112</v>
      </c>
      <c r="C735" s="112" t="s">
        <v>73</v>
      </c>
      <c r="D735" s="112" t="s">
        <v>297</v>
      </c>
      <c r="E735" s="112" t="s">
        <v>136</v>
      </c>
      <c r="F735" s="112" t="s">
        <v>153</v>
      </c>
      <c r="G735" s="112" t="s">
        <v>1150</v>
      </c>
      <c r="H735" s="129">
        <v>200</v>
      </c>
      <c r="I735" s="78">
        <f>85.5+769.8</f>
        <v>855.3</v>
      </c>
      <c r="J735" s="78">
        <f>85.5+769.8</f>
        <v>855.3</v>
      </c>
      <c r="K735" s="348">
        <f t="shared" si="87"/>
        <v>0</v>
      </c>
      <c r="L735" s="78"/>
      <c r="M735" s="78"/>
    </row>
    <row r="736" spans="1:15" s="355" customFormat="1" ht="22.5" customHeight="1">
      <c r="A736" s="139" t="s">
        <v>441</v>
      </c>
      <c r="B736" s="343">
        <v>112</v>
      </c>
      <c r="C736" s="107" t="s">
        <v>73</v>
      </c>
      <c r="D736" s="107" t="s">
        <v>442</v>
      </c>
      <c r="E736" s="107" t="s">
        <v>154</v>
      </c>
      <c r="F736" s="107" t="s">
        <v>155</v>
      </c>
      <c r="G736" s="107" t="s">
        <v>156</v>
      </c>
      <c r="H736" s="105"/>
      <c r="I736" s="37">
        <f aca="true" t="shared" si="92" ref="I736:M739">I737</f>
        <v>400</v>
      </c>
      <c r="J736" s="37">
        <f t="shared" si="92"/>
        <v>400</v>
      </c>
      <c r="K736" s="344">
        <f t="shared" si="87"/>
        <v>0</v>
      </c>
      <c r="L736" s="37">
        <f t="shared" si="92"/>
        <v>700</v>
      </c>
      <c r="M736" s="37">
        <f t="shared" si="92"/>
        <v>887</v>
      </c>
      <c r="N736" s="327"/>
      <c r="O736" s="327"/>
    </row>
    <row r="737" spans="1:15" s="355" customFormat="1" ht="21" customHeight="1">
      <c r="A737" s="136" t="s">
        <v>410</v>
      </c>
      <c r="B737" s="343">
        <v>112</v>
      </c>
      <c r="C737" s="107" t="s">
        <v>73</v>
      </c>
      <c r="D737" s="107" t="s">
        <v>442</v>
      </c>
      <c r="E737" s="107" t="s">
        <v>338</v>
      </c>
      <c r="F737" s="107" t="s">
        <v>155</v>
      </c>
      <c r="G737" s="107" t="s">
        <v>156</v>
      </c>
      <c r="H737" s="105"/>
      <c r="I737" s="37">
        <f t="shared" si="92"/>
        <v>400</v>
      </c>
      <c r="J737" s="37">
        <f t="shared" si="92"/>
        <v>400</v>
      </c>
      <c r="K737" s="344">
        <f t="shared" si="87"/>
        <v>0</v>
      </c>
      <c r="L737" s="37">
        <f t="shared" si="92"/>
        <v>700</v>
      </c>
      <c r="M737" s="37">
        <f t="shared" si="92"/>
        <v>887</v>
      </c>
      <c r="N737" s="327"/>
      <c r="O737" s="327"/>
    </row>
    <row r="738" spans="1:13" s="355" customFormat="1" ht="19.5" customHeight="1">
      <c r="A738" s="137" t="s">
        <v>410</v>
      </c>
      <c r="B738" s="343">
        <v>112</v>
      </c>
      <c r="C738" s="107" t="s">
        <v>73</v>
      </c>
      <c r="D738" s="107" t="s">
        <v>442</v>
      </c>
      <c r="E738" s="107" t="s">
        <v>338</v>
      </c>
      <c r="F738" s="107" t="s">
        <v>153</v>
      </c>
      <c r="G738" s="107" t="s">
        <v>156</v>
      </c>
      <c r="H738" s="105"/>
      <c r="I738" s="37">
        <f t="shared" si="92"/>
        <v>400</v>
      </c>
      <c r="J738" s="37">
        <f t="shared" si="92"/>
        <v>400</v>
      </c>
      <c r="K738" s="344">
        <f t="shared" si="87"/>
        <v>0</v>
      </c>
      <c r="L738" s="37">
        <f t="shared" si="92"/>
        <v>700</v>
      </c>
      <c r="M738" s="37">
        <f t="shared" si="92"/>
        <v>887</v>
      </c>
    </row>
    <row r="739" spans="1:13" ht="21" customHeight="1">
      <c r="A739" s="123" t="s">
        <v>472</v>
      </c>
      <c r="B739" s="347">
        <v>112</v>
      </c>
      <c r="C739" s="112" t="s">
        <v>73</v>
      </c>
      <c r="D739" s="112" t="s">
        <v>442</v>
      </c>
      <c r="E739" s="112" t="s">
        <v>338</v>
      </c>
      <c r="F739" s="112" t="s">
        <v>153</v>
      </c>
      <c r="G739" s="112" t="s">
        <v>473</v>
      </c>
      <c r="H739" s="129"/>
      <c r="I739" s="78">
        <f t="shared" si="92"/>
        <v>400</v>
      </c>
      <c r="J739" s="78">
        <f t="shared" si="92"/>
        <v>400</v>
      </c>
      <c r="K739" s="348">
        <f t="shared" si="87"/>
        <v>0</v>
      </c>
      <c r="L739" s="78">
        <f t="shared" si="92"/>
        <v>700</v>
      </c>
      <c r="M739" s="78">
        <f t="shared" si="92"/>
        <v>887</v>
      </c>
    </row>
    <row r="740" spans="1:13" ht="33" customHeight="1">
      <c r="A740" s="123" t="s">
        <v>758</v>
      </c>
      <c r="B740" s="347">
        <v>112</v>
      </c>
      <c r="C740" s="112" t="s">
        <v>73</v>
      </c>
      <c r="D740" s="112" t="s">
        <v>442</v>
      </c>
      <c r="E740" s="112" t="s">
        <v>338</v>
      </c>
      <c r="F740" s="112" t="s">
        <v>153</v>
      </c>
      <c r="G740" s="112" t="s">
        <v>473</v>
      </c>
      <c r="H740" s="129">
        <v>200</v>
      </c>
      <c r="I740" s="78">
        <f>500-100</f>
        <v>400</v>
      </c>
      <c r="J740" s="78">
        <f>500-100</f>
        <v>400</v>
      </c>
      <c r="K740" s="348">
        <f t="shared" si="87"/>
        <v>0</v>
      </c>
      <c r="L740" s="78">
        <v>700</v>
      </c>
      <c r="M740" s="78">
        <v>887</v>
      </c>
    </row>
    <row r="741" spans="1:13" ht="35.25" customHeight="1">
      <c r="A741" s="139" t="s">
        <v>31</v>
      </c>
      <c r="B741" s="343" t="s">
        <v>30</v>
      </c>
      <c r="C741" s="107"/>
      <c r="D741" s="71"/>
      <c r="E741" s="71"/>
      <c r="F741" s="71"/>
      <c r="G741" s="71"/>
      <c r="H741" s="71"/>
      <c r="I741" s="37">
        <f aca="true" t="shared" si="93" ref="I741:M742">I742</f>
        <v>64694.8</v>
      </c>
      <c r="J741" s="37">
        <f t="shared" si="93"/>
        <v>64694.8</v>
      </c>
      <c r="K741" s="344">
        <f t="shared" si="87"/>
        <v>0</v>
      </c>
      <c r="L741" s="37">
        <f t="shared" si="93"/>
        <v>62759.5</v>
      </c>
      <c r="M741" s="37">
        <f t="shared" si="93"/>
        <v>64986.8</v>
      </c>
    </row>
    <row r="742" spans="1:13" ht="18.75" customHeight="1">
      <c r="A742" s="139" t="s">
        <v>42</v>
      </c>
      <c r="B742" s="343" t="s">
        <v>30</v>
      </c>
      <c r="C742" s="107" t="s">
        <v>43</v>
      </c>
      <c r="D742" s="71"/>
      <c r="E742" s="71"/>
      <c r="F742" s="71"/>
      <c r="G742" s="71"/>
      <c r="H742" s="71"/>
      <c r="I742" s="37">
        <f t="shared" si="93"/>
        <v>64694.8</v>
      </c>
      <c r="J742" s="37">
        <f t="shared" si="93"/>
        <v>64694.8</v>
      </c>
      <c r="K742" s="344">
        <f t="shared" si="87"/>
        <v>0</v>
      </c>
      <c r="L742" s="37">
        <f t="shared" si="93"/>
        <v>62759.5</v>
      </c>
      <c r="M742" s="37">
        <f t="shared" si="93"/>
        <v>64986.8</v>
      </c>
    </row>
    <row r="743" spans="1:13" ht="18" customHeight="1">
      <c r="A743" s="139" t="s">
        <v>56</v>
      </c>
      <c r="B743" s="343" t="s">
        <v>30</v>
      </c>
      <c r="C743" s="107" t="s">
        <v>57</v>
      </c>
      <c r="D743" s="71"/>
      <c r="E743" s="71"/>
      <c r="F743" s="71"/>
      <c r="G743" s="71"/>
      <c r="H743" s="71"/>
      <c r="I743" s="37">
        <f>I744+I753+I758</f>
        <v>64694.8</v>
      </c>
      <c r="J743" s="37">
        <f>J744+J753+J758</f>
        <v>64694.8</v>
      </c>
      <c r="K743" s="344">
        <f t="shared" si="87"/>
        <v>0</v>
      </c>
      <c r="L743" s="37">
        <f>L744+L753+L758</f>
        <v>62759.5</v>
      </c>
      <c r="M743" s="37">
        <f>M744+M753+M758</f>
        <v>64986.8</v>
      </c>
    </row>
    <row r="744" spans="1:13" ht="35.25" customHeight="1">
      <c r="A744" s="155" t="s">
        <v>793</v>
      </c>
      <c r="B744" s="343">
        <v>113</v>
      </c>
      <c r="C744" s="107" t="s">
        <v>57</v>
      </c>
      <c r="D744" s="157" t="s">
        <v>799</v>
      </c>
      <c r="E744" s="157" t="s">
        <v>154</v>
      </c>
      <c r="F744" s="157" t="s">
        <v>155</v>
      </c>
      <c r="G744" s="157" t="s">
        <v>156</v>
      </c>
      <c r="H744" s="71"/>
      <c r="I744" s="37">
        <f>I745+I749</f>
        <v>11705.9</v>
      </c>
      <c r="J744" s="37">
        <f>J745+J749</f>
        <v>11705.9</v>
      </c>
      <c r="K744" s="344">
        <f t="shared" si="87"/>
        <v>0</v>
      </c>
      <c r="L744" s="37">
        <f>L745+L749</f>
        <v>12174.199999999999</v>
      </c>
      <c r="M744" s="37">
        <f>M745+M749</f>
        <v>12661.1</v>
      </c>
    </row>
    <row r="745" spans="1:13" ht="34.5" customHeight="1">
      <c r="A745" s="155" t="s">
        <v>794</v>
      </c>
      <c r="B745" s="343">
        <v>113</v>
      </c>
      <c r="C745" s="107" t="s">
        <v>57</v>
      </c>
      <c r="D745" s="157" t="s">
        <v>799</v>
      </c>
      <c r="E745" s="157" t="s">
        <v>137</v>
      </c>
      <c r="F745" s="157" t="s">
        <v>155</v>
      </c>
      <c r="G745" s="157" t="s">
        <v>156</v>
      </c>
      <c r="H745" s="71"/>
      <c r="I745" s="37">
        <f aca="true" t="shared" si="94" ref="I745:M747">I746</f>
        <v>3572</v>
      </c>
      <c r="J745" s="37">
        <f t="shared" si="94"/>
        <v>3572</v>
      </c>
      <c r="K745" s="344">
        <f t="shared" si="87"/>
        <v>0</v>
      </c>
      <c r="L745" s="37">
        <f t="shared" si="94"/>
        <v>3714.9</v>
      </c>
      <c r="M745" s="37">
        <f t="shared" si="94"/>
        <v>3863.5</v>
      </c>
    </row>
    <row r="746" spans="1:13" s="355" customFormat="1" ht="24" customHeight="1">
      <c r="A746" s="155" t="s">
        <v>195</v>
      </c>
      <c r="B746" s="343">
        <v>113</v>
      </c>
      <c r="C746" s="107" t="s">
        <v>57</v>
      </c>
      <c r="D746" s="157" t="s">
        <v>799</v>
      </c>
      <c r="E746" s="157" t="s">
        <v>137</v>
      </c>
      <c r="F746" s="157" t="s">
        <v>153</v>
      </c>
      <c r="G746" s="157" t="s">
        <v>156</v>
      </c>
      <c r="H746" s="71"/>
      <c r="I746" s="37">
        <f t="shared" si="94"/>
        <v>3572</v>
      </c>
      <c r="J746" s="37">
        <f t="shared" si="94"/>
        <v>3572</v>
      </c>
      <c r="K746" s="344">
        <f t="shared" si="87"/>
        <v>0</v>
      </c>
      <c r="L746" s="37">
        <f t="shared" si="94"/>
        <v>3714.9</v>
      </c>
      <c r="M746" s="37">
        <f t="shared" si="94"/>
        <v>3863.5</v>
      </c>
    </row>
    <row r="747" spans="1:13" ht="63.75" customHeight="1">
      <c r="A747" s="114" t="s">
        <v>795</v>
      </c>
      <c r="B747" s="347">
        <v>113</v>
      </c>
      <c r="C747" s="112" t="s">
        <v>57</v>
      </c>
      <c r="D747" s="160" t="s">
        <v>799</v>
      </c>
      <c r="E747" s="160" t="s">
        <v>137</v>
      </c>
      <c r="F747" s="160" t="s">
        <v>153</v>
      </c>
      <c r="G747" s="160" t="s">
        <v>798</v>
      </c>
      <c r="H747" s="71"/>
      <c r="I747" s="78">
        <f t="shared" si="94"/>
        <v>3572</v>
      </c>
      <c r="J747" s="78">
        <f t="shared" si="94"/>
        <v>3572</v>
      </c>
      <c r="K747" s="348">
        <f t="shared" si="87"/>
        <v>0</v>
      </c>
      <c r="L747" s="78">
        <f t="shared" si="94"/>
        <v>3714.9</v>
      </c>
      <c r="M747" s="78">
        <f t="shared" si="94"/>
        <v>3863.5</v>
      </c>
    </row>
    <row r="748" spans="1:13" ht="65.25" customHeight="1">
      <c r="A748" s="123" t="s">
        <v>755</v>
      </c>
      <c r="B748" s="347">
        <v>113</v>
      </c>
      <c r="C748" s="112" t="s">
        <v>57</v>
      </c>
      <c r="D748" s="160" t="s">
        <v>799</v>
      </c>
      <c r="E748" s="160" t="s">
        <v>137</v>
      </c>
      <c r="F748" s="160" t="s">
        <v>153</v>
      </c>
      <c r="G748" s="160" t="s">
        <v>798</v>
      </c>
      <c r="H748" s="111" t="s">
        <v>756</v>
      </c>
      <c r="I748" s="78">
        <v>3572</v>
      </c>
      <c r="J748" s="78">
        <v>3572</v>
      </c>
      <c r="K748" s="348">
        <f t="shared" si="87"/>
        <v>0</v>
      </c>
      <c r="L748" s="78">
        <v>3714.9</v>
      </c>
      <c r="M748" s="78">
        <v>3863.5</v>
      </c>
    </row>
    <row r="749" spans="1:13" ht="38.25" customHeight="1">
      <c r="A749" s="155" t="s">
        <v>796</v>
      </c>
      <c r="B749" s="343">
        <v>113</v>
      </c>
      <c r="C749" s="107" t="s">
        <v>57</v>
      </c>
      <c r="D749" s="157" t="s">
        <v>799</v>
      </c>
      <c r="E749" s="157" t="s">
        <v>140</v>
      </c>
      <c r="F749" s="157" t="s">
        <v>155</v>
      </c>
      <c r="G749" s="157" t="s">
        <v>156</v>
      </c>
      <c r="H749" s="71"/>
      <c r="I749" s="37">
        <f aca="true" t="shared" si="95" ref="I749:M751">I750</f>
        <v>8133.9</v>
      </c>
      <c r="J749" s="37">
        <f t="shared" si="95"/>
        <v>8133.9</v>
      </c>
      <c r="K749" s="344">
        <f t="shared" si="87"/>
        <v>0</v>
      </c>
      <c r="L749" s="37">
        <f t="shared" si="95"/>
        <v>8459.3</v>
      </c>
      <c r="M749" s="37">
        <f t="shared" si="95"/>
        <v>8797.6</v>
      </c>
    </row>
    <row r="750" spans="1:13" ht="38.25" customHeight="1">
      <c r="A750" s="155" t="s">
        <v>797</v>
      </c>
      <c r="B750" s="343">
        <v>113</v>
      </c>
      <c r="C750" s="107" t="s">
        <v>57</v>
      </c>
      <c r="D750" s="157" t="s">
        <v>799</v>
      </c>
      <c r="E750" s="157" t="s">
        <v>140</v>
      </c>
      <c r="F750" s="157" t="s">
        <v>153</v>
      </c>
      <c r="G750" s="157" t="s">
        <v>156</v>
      </c>
      <c r="H750" s="71"/>
      <c r="I750" s="37">
        <f t="shared" si="95"/>
        <v>8133.9</v>
      </c>
      <c r="J750" s="37">
        <f t="shared" si="95"/>
        <v>8133.9</v>
      </c>
      <c r="K750" s="344">
        <f t="shared" si="87"/>
        <v>0</v>
      </c>
      <c r="L750" s="37">
        <f t="shared" si="95"/>
        <v>8459.3</v>
      </c>
      <c r="M750" s="37">
        <f t="shared" si="95"/>
        <v>8797.6</v>
      </c>
    </row>
    <row r="751" spans="1:13" ht="61.5" customHeight="1">
      <c r="A751" s="114" t="s">
        <v>795</v>
      </c>
      <c r="B751" s="347">
        <v>113</v>
      </c>
      <c r="C751" s="112" t="s">
        <v>57</v>
      </c>
      <c r="D751" s="160" t="s">
        <v>799</v>
      </c>
      <c r="E751" s="160" t="s">
        <v>140</v>
      </c>
      <c r="F751" s="160" t="s">
        <v>153</v>
      </c>
      <c r="G751" s="160" t="s">
        <v>798</v>
      </c>
      <c r="H751" s="71"/>
      <c r="I751" s="78">
        <f t="shared" si="95"/>
        <v>8133.9</v>
      </c>
      <c r="J751" s="78">
        <f t="shared" si="95"/>
        <v>8133.9</v>
      </c>
      <c r="K751" s="348">
        <f t="shared" si="87"/>
        <v>0</v>
      </c>
      <c r="L751" s="78">
        <f t="shared" si="95"/>
        <v>8459.3</v>
      </c>
      <c r="M751" s="78">
        <f t="shared" si="95"/>
        <v>8797.6</v>
      </c>
    </row>
    <row r="752" spans="1:13" ht="63.75" customHeight="1">
      <c r="A752" s="123" t="s">
        <v>755</v>
      </c>
      <c r="B752" s="347">
        <v>113</v>
      </c>
      <c r="C752" s="112" t="s">
        <v>57</v>
      </c>
      <c r="D752" s="160" t="s">
        <v>799</v>
      </c>
      <c r="E752" s="160" t="s">
        <v>140</v>
      </c>
      <c r="F752" s="160" t="s">
        <v>153</v>
      </c>
      <c r="G752" s="160" t="s">
        <v>798</v>
      </c>
      <c r="H752" s="111" t="s">
        <v>756</v>
      </c>
      <c r="I752" s="78">
        <v>8133.9</v>
      </c>
      <c r="J752" s="78">
        <v>8133.9</v>
      </c>
      <c r="K752" s="348">
        <f t="shared" si="87"/>
        <v>0</v>
      </c>
      <c r="L752" s="78">
        <v>8459.3</v>
      </c>
      <c r="M752" s="78">
        <v>8797.6</v>
      </c>
    </row>
    <row r="753" spans="1:13" ht="33" customHeight="1">
      <c r="A753" s="155" t="s">
        <v>683</v>
      </c>
      <c r="B753" s="343">
        <v>113</v>
      </c>
      <c r="C753" s="107" t="s">
        <v>57</v>
      </c>
      <c r="D753" s="157" t="s">
        <v>671</v>
      </c>
      <c r="E753" s="157" t="s">
        <v>154</v>
      </c>
      <c r="F753" s="157" t="s">
        <v>155</v>
      </c>
      <c r="G753" s="157" t="s">
        <v>156</v>
      </c>
      <c r="H753" s="71"/>
      <c r="I753" s="37">
        <f aca="true" t="shared" si="96" ref="I753:M755">I754</f>
        <v>1722.9</v>
      </c>
      <c r="J753" s="37">
        <f t="shared" si="96"/>
        <v>1722.9</v>
      </c>
      <c r="K753" s="344">
        <f t="shared" si="87"/>
        <v>0</v>
      </c>
      <c r="L753" s="37">
        <f t="shared" si="96"/>
        <v>1785.2</v>
      </c>
      <c r="M753" s="37">
        <f t="shared" si="96"/>
        <v>1851.1</v>
      </c>
    </row>
    <row r="754" spans="1:13" ht="35.25" customHeight="1">
      <c r="A754" s="155" t="s">
        <v>800</v>
      </c>
      <c r="B754" s="343">
        <v>113</v>
      </c>
      <c r="C754" s="107" t="s">
        <v>57</v>
      </c>
      <c r="D754" s="157" t="s">
        <v>671</v>
      </c>
      <c r="E754" s="157" t="s">
        <v>136</v>
      </c>
      <c r="F754" s="157" t="s">
        <v>155</v>
      </c>
      <c r="G754" s="157" t="s">
        <v>156</v>
      </c>
      <c r="H754" s="71"/>
      <c r="I754" s="37">
        <f t="shared" si="96"/>
        <v>1722.9</v>
      </c>
      <c r="J754" s="37">
        <f t="shared" si="96"/>
        <v>1722.9</v>
      </c>
      <c r="K754" s="344">
        <f t="shared" si="87"/>
        <v>0</v>
      </c>
      <c r="L754" s="37">
        <f t="shared" si="96"/>
        <v>1785.2</v>
      </c>
      <c r="M754" s="37">
        <f t="shared" si="96"/>
        <v>1851.1</v>
      </c>
    </row>
    <row r="755" spans="1:13" s="355" customFormat="1" ht="36" customHeight="1">
      <c r="A755" s="109" t="s">
        <v>801</v>
      </c>
      <c r="B755" s="343">
        <v>113</v>
      </c>
      <c r="C755" s="107" t="s">
        <v>57</v>
      </c>
      <c r="D755" s="157" t="s">
        <v>671</v>
      </c>
      <c r="E755" s="157" t="s">
        <v>136</v>
      </c>
      <c r="F755" s="157" t="s">
        <v>153</v>
      </c>
      <c r="G755" s="157" t="s">
        <v>156</v>
      </c>
      <c r="H755" s="71"/>
      <c r="I755" s="37">
        <f t="shared" si="96"/>
        <v>1722.9</v>
      </c>
      <c r="J755" s="37">
        <f t="shared" si="96"/>
        <v>1722.9</v>
      </c>
      <c r="K755" s="344">
        <f t="shared" si="87"/>
        <v>0</v>
      </c>
      <c r="L755" s="37">
        <f t="shared" si="96"/>
        <v>1785.2</v>
      </c>
      <c r="M755" s="37">
        <f t="shared" si="96"/>
        <v>1851.1</v>
      </c>
    </row>
    <row r="756" spans="1:13" ht="73.5" customHeight="1">
      <c r="A756" s="162" t="s">
        <v>802</v>
      </c>
      <c r="B756" s="347">
        <v>113</v>
      </c>
      <c r="C756" s="112" t="s">
        <v>57</v>
      </c>
      <c r="D756" s="160" t="s">
        <v>671</v>
      </c>
      <c r="E756" s="160" t="s">
        <v>136</v>
      </c>
      <c r="F756" s="160" t="s">
        <v>153</v>
      </c>
      <c r="G756" s="160" t="s">
        <v>803</v>
      </c>
      <c r="H756" s="111"/>
      <c r="I756" s="78">
        <f>I757</f>
        <v>1722.9</v>
      </c>
      <c r="J756" s="78">
        <f>J757</f>
        <v>1722.9</v>
      </c>
      <c r="K756" s="348">
        <f t="shared" si="87"/>
        <v>0</v>
      </c>
      <c r="L756" s="78">
        <f>L757</f>
        <v>1785.2</v>
      </c>
      <c r="M756" s="78">
        <f>M757</f>
        <v>1851.1</v>
      </c>
    </row>
    <row r="757" spans="1:13" ht="66" customHeight="1">
      <c r="A757" s="123" t="s">
        <v>755</v>
      </c>
      <c r="B757" s="347">
        <v>113</v>
      </c>
      <c r="C757" s="112" t="s">
        <v>57</v>
      </c>
      <c r="D757" s="160" t="s">
        <v>671</v>
      </c>
      <c r="E757" s="160" t="s">
        <v>136</v>
      </c>
      <c r="F757" s="160" t="s">
        <v>153</v>
      </c>
      <c r="G757" s="160" t="s">
        <v>803</v>
      </c>
      <c r="H757" s="111" t="s">
        <v>756</v>
      </c>
      <c r="I757" s="78">
        <v>1722.9</v>
      </c>
      <c r="J757" s="78">
        <v>1722.9</v>
      </c>
      <c r="K757" s="348">
        <f t="shared" si="87"/>
        <v>0</v>
      </c>
      <c r="L757" s="78">
        <v>1785.2</v>
      </c>
      <c r="M757" s="78">
        <v>1851.1</v>
      </c>
    </row>
    <row r="758" spans="1:13" ht="18" customHeight="1">
      <c r="A758" s="139" t="s">
        <v>441</v>
      </c>
      <c r="B758" s="343" t="s">
        <v>30</v>
      </c>
      <c r="C758" s="107" t="s">
        <v>57</v>
      </c>
      <c r="D758" s="107" t="s">
        <v>442</v>
      </c>
      <c r="E758" s="107" t="s">
        <v>154</v>
      </c>
      <c r="F758" s="107" t="s">
        <v>155</v>
      </c>
      <c r="G758" s="107" t="s">
        <v>156</v>
      </c>
      <c r="H758" s="105"/>
      <c r="I758" s="37">
        <f aca="true" t="shared" si="97" ref="I758:M759">I759</f>
        <v>51266</v>
      </c>
      <c r="J758" s="37">
        <f t="shared" si="97"/>
        <v>51266</v>
      </c>
      <c r="K758" s="344">
        <f t="shared" si="87"/>
        <v>0</v>
      </c>
      <c r="L758" s="37">
        <f t="shared" si="97"/>
        <v>48800.1</v>
      </c>
      <c r="M758" s="37">
        <f t="shared" si="97"/>
        <v>50474.6</v>
      </c>
    </row>
    <row r="759" spans="1:13" ht="18" customHeight="1">
      <c r="A759" s="136" t="s">
        <v>410</v>
      </c>
      <c r="B759" s="343" t="s">
        <v>30</v>
      </c>
      <c r="C759" s="107" t="s">
        <v>57</v>
      </c>
      <c r="D759" s="71" t="s">
        <v>442</v>
      </c>
      <c r="E759" s="71" t="s">
        <v>338</v>
      </c>
      <c r="F759" s="71" t="s">
        <v>155</v>
      </c>
      <c r="G759" s="71" t="s">
        <v>156</v>
      </c>
      <c r="H759" s="71"/>
      <c r="I759" s="37">
        <f t="shared" si="97"/>
        <v>51266</v>
      </c>
      <c r="J759" s="37">
        <f t="shared" si="97"/>
        <v>51266</v>
      </c>
      <c r="K759" s="344">
        <f t="shared" si="87"/>
        <v>0</v>
      </c>
      <c r="L759" s="37">
        <f t="shared" si="97"/>
        <v>48800.1</v>
      </c>
      <c r="M759" s="37">
        <f t="shared" si="97"/>
        <v>50474.6</v>
      </c>
    </row>
    <row r="760" spans="1:13" s="355" customFormat="1" ht="20.25" customHeight="1">
      <c r="A760" s="137" t="s">
        <v>410</v>
      </c>
      <c r="B760" s="343" t="s">
        <v>30</v>
      </c>
      <c r="C760" s="107" t="s">
        <v>57</v>
      </c>
      <c r="D760" s="107" t="s">
        <v>442</v>
      </c>
      <c r="E760" s="107" t="s">
        <v>338</v>
      </c>
      <c r="F760" s="107" t="s">
        <v>153</v>
      </c>
      <c r="G760" s="107" t="s">
        <v>156</v>
      </c>
      <c r="H760" s="105"/>
      <c r="I760" s="37">
        <f>I761+I766+I771+I774+I769</f>
        <v>51266</v>
      </c>
      <c r="J760" s="37">
        <f>J761+J766+J771+J774+J769</f>
        <v>51266</v>
      </c>
      <c r="K760" s="344">
        <f t="shared" si="87"/>
        <v>0</v>
      </c>
      <c r="L760" s="37">
        <f>L761+L766+L771+L774+L769</f>
        <v>48800.1</v>
      </c>
      <c r="M760" s="37">
        <f>M761+M766+M771+M774+M769</f>
        <v>50474.6</v>
      </c>
    </row>
    <row r="761" spans="1:13" ht="21" customHeight="1">
      <c r="A761" s="121" t="s">
        <v>196</v>
      </c>
      <c r="B761" s="347" t="s">
        <v>30</v>
      </c>
      <c r="C761" s="112" t="s">
        <v>57</v>
      </c>
      <c r="D761" s="112" t="s">
        <v>442</v>
      </c>
      <c r="E761" s="112" t="s">
        <v>338</v>
      </c>
      <c r="F761" s="112" t="s">
        <v>153</v>
      </c>
      <c r="G761" s="112" t="s">
        <v>197</v>
      </c>
      <c r="H761" s="129"/>
      <c r="I761" s="78">
        <f>I762+I763+I765+I764</f>
        <v>51266</v>
      </c>
      <c r="J761" s="78">
        <f>J762+J763+J765+J764</f>
        <v>51266</v>
      </c>
      <c r="K761" s="348">
        <f t="shared" si="87"/>
        <v>0</v>
      </c>
      <c r="L761" s="78">
        <f>L762+L763+L765+L764</f>
        <v>35505.1</v>
      </c>
      <c r="M761" s="78">
        <f>M762+M763+M765+M764</f>
        <v>37635.5</v>
      </c>
    </row>
    <row r="762" spans="1:13" ht="63" customHeight="1">
      <c r="A762" s="123" t="s">
        <v>755</v>
      </c>
      <c r="B762" s="347" t="s">
        <v>30</v>
      </c>
      <c r="C762" s="112" t="s">
        <v>57</v>
      </c>
      <c r="D762" s="112" t="s">
        <v>442</v>
      </c>
      <c r="E762" s="112" t="s">
        <v>338</v>
      </c>
      <c r="F762" s="112" t="s">
        <v>153</v>
      </c>
      <c r="G762" s="112" t="s">
        <v>197</v>
      </c>
      <c r="H762" s="129">
        <v>100</v>
      </c>
      <c r="I762" s="78">
        <f>33399.9-82</f>
        <v>33317.9</v>
      </c>
      <c r="J762" s="78">
        <f>33399.9-82</f>
        <v>33317.9</v>
      </c>
      <c r="K762" s="348">
        <f t="shared" si="87"/>
        <v>0</v>
      </c>
      <c r="L762" s="78">
        <v>25311.1</v>
      </c>
      <c r="M762" s="78">
        <v>26304</v>
      </c>
    </row>
    <row r="763" spans="1:13" ht="33.75" customHeight="1">
      <c r="A763" s="123" t="s">
        <v>758</v>
      </c>
      <c r="B763" s="347" t="s">
        <v>30</v>
      </c>
      <c r="C763" s="112" t="s">
        <v>57</v>
      </c>
      <c r="D763" s="112" t="s">
        <v>442</v>
      </c>
      <c r="E763" s="112" t="s">
        <v>338</v>
      </c>
      <c r="F763" s="112" t="s">
        <v>153</v>
      </c>
      <c r="G763" s="112" t="s">
        <v>197</v>
      </c>
      <c r="H763" s="129">
        <v>200</v>
      </c>
      <c r="I763" s="78">
        <f>17344.5+425</f>
        <v>17769.5</v>
      </c>
      <c r="J763" s="78">
        <f>17344.5+425</f>
        <v>17769.5</v>
      </c>
      <c r="K763" s="348">
        <f t="shared" si="87"/>
        <v>0</v>
      </c>
      <c r="L763" s="78">
        <v>10109.5</v>
      </c>
      <c r="M763" s="78">
        <v>11244</v>
      </c>
    </row>
    <row r="764" spans="1:13" ht="15.75" customHeight="1">
      <c r="A764" s="123" t="s">
        <v>762</v>
      </c>
      <c r="B764" s="347" t="s">
        <v>30</v>
      </c>
      <c r="C764" s="112" t="s">
        <v>57</v>
      </c>
      <c r="D764" s="112" t="s">
        <v>442</v>
      </c>
      <c r="E764" s="112" t="s">
        <v>338</v>
      </c>
      <c r="F764" s="112" t="s">
        <v>153</v>
      </c>
      <c r="G764" s="112" t="s">
        <v>197</v>
      </c>
      <c r="H764" s="129">
        <v>300</v>
      </c>
      <c r="I764" s="78">
        <v>82</v>
      </c>
      <c r="J764" s="78">
        <v>82</v>
      </c>
      <c r="K764" s="348">
        <f t="shared" si="87"/>
        <v>0</v>
      </c>
      <c r="L764" s="78"/>
      <c r="M764" s="78"/>
    </row>
    <row r="765" spans="1:13" ht="21.75" customHeight="1">
      <c r="A765" s="123" t="s">
        <v>759</v>
      </c>
      <c r="B765" s="347" t="s">
        <v>30</v>
      </c>
      <c r="C765" s="112" t="s">
        <v>57</v>
      </c>
      <c r="D765" s="112" t="s">
        <v>442</v>
      </c>
      <c r="E765" s="112" t="s">
        <v>338</v>
      </c>
      <c r="F765" s="112" t="s">
        <v>153</v>
      </c>
      <c r="G765" s="112" t="s">
        <v>197</v>
      </c>
      <c r="H765" s="129">
        <v>800</v>
      </c>
      <c r="I765" s="78">
        <v>96.6</v>
      </c>
      <c r="J765" s="78">
        <v>96.6</v>
      </c>
      <c r="K765" s="348">
        <f t="shared" si="87"/>
        <v>0</v>
      </c>
      <c r="L765" s="78">
        <v>84.5</v>
      </c>
      <c r="M765" s="78">
        <v>87.5</v>
      </c>
    </row>
    <row r="766" spans="1:13" ht="33" customHeight="1" hidden="1">
      <c r="A766" s="121" t="s">
        <v>787</v>
      </c>
      <c r="B766" s="347" t="s">
        <v>30</v>
      </c>
      <c r="C766" s="112" t="s">
        <v>57</v>
      </c>
      <c r="D766" s="112" t="s">
        <v>442</v>
      </c>
      <c r="E766" s="112" t="s">
        <v>338</v>
      </c>
      <c r="F766" s="112" t="s">
        <v>153</v>
      </c>
      <c r="G766" s="112" t="s">
        <v>786</v>
      </c>
      <c r="H766" s="129"/>
      <c r="I766" s="78">
        <f>I767+I768</f>
        <v>0</v>
      </c>
      <c r="J766" s="78">
        <f>J767+J768</f>
        <v>0</v>
      </c>
      <c r="K766" s="348">
        <f t="shared" si="87"/>
        <v>0</v>
      </c>
      <c r="L766" s="78">
        <f>L767+L768</f>
        <v>0</v>
      </c>
      <c r="M766" s="78">
        <f>M767+M768</f>
        <v>0</v>
      </c>
    </row>
    <row r="767" spans="1:13" ht="25.5" customHeight="1" hidden="1">
      <c r="A767" s="123" t="s">
        <v>755</v>
      </c>
      <c r="B767" s="347" t="s">
        <v>30</v>
      </c>
      <c r="C767" s="112" t="s">
        <v>57</v>
      </c>
      <c r="D767" s="112" t="s">
        <v>442</v>
      </c>
      <c r="E767" s="112" t="s">
        <v>338</v>
      </c>
      <c r="F767" s="112" t="s">
        <v>153</v>
      </c>
      <c r="G767" s="112" t="s">
        <v>786</v>
      </c>
      <c r="H767" s="129">
        <v>100</v>
      </c>
      <c r="I767" s="78"/>
      <c r="J767" s="331"/>
      <c r="K767" s="348">
        <f t="shared" si="87"/>
        <v>0</v>
      </c>
      <c r="L767" s="78"/>
      <c r="M767" s="78"/>
    </row>
    <row r="768" spans="1:13" ht="27" customHeight="1" hidden="1">
      <c r="A768" s="123" t="s">
        <v>758</v>
      </c>
      <c r="B768" s="347" t="s">
        <v>30</v>
      </c>
      <c r="C768" s="112" t="s">
        <v>57</v>
      </c>
      <c r="D768" s="112" t="s">
        <v>442</v>
      </c>
      <c r="E768" s="112" t="s">
        <v>338</v>
      </c>
      <c r="F768" s="112" t="s">
        <v>153</v>
      </c>
      <c r="G768" s="112" t="s">
        <v>786</v>
      </c>
      <c r="H768" s="129">
        <v>200</v>
      </c>
      <c r="I768" s="78"/>
      <c r="J768" s="331"/>
      <c r="K768" s="348">
        <f t="shared" si="87"/>
        <v>0</v>
      </c>
      <c r="L768" s="78"/>
      <c r="M768" s="78"/>
    </row>
    <row r="769" spans="1:13" ht="48" customHeight="1" hidden="1">
      <c r="A769" s="121" t="s">
        <v>1183</v>
      </c>
      <c r="B769" s="347" t="s">
        <v>30</v>
      </c>
      <c r="C769" s="112" t="s">
        <v>57</v>
      </c>
      <c r="D769" s="112" t="s">
        <v>442</v>
      </c>
      <c r="E769" s="112" t="s">
        <v>338</v>
      </c>
      <c r="F769" s="112" t="s">
        <v>153</v>
      </c>
      <c r="G769" s="112" t="s">
        <v>1169</v>
      </c>
      <c r="H769" s="129"/>
      <c r="I769" s="78">
        <f>I770</f>
        <v>0</v>
      </c>
      <c r="J769" s="78">
        <f>J770</f>
        <v>0</v>
      </c>
      <c r="K769" s="348">
        <f t="shared" si="87"/>
        <v>0</v>
      </c>
      <c r="L769" s="78">
        <f>L770</f>
        <v>0</v>
      </c>
      <c r="M769" s="78">
        <f>M770</f>
        <v>0</v>
      </c>
    </row>
    <row r="770" spans="1:13" ht="29.25" customHeight="1" hidden="1">
      <c r="A770" s="123" t="s">
        <v>758</v>
      </c>
      <c r="B770" s="347" t="s">
        <v>30</v>
      </c>
      <c r="C770" s="112" t="s">
        <v>57</v>
      </c>
      <c r="D770" s="112" t="s">
        <v>442</v>
      </c>
      <c r="E770" s="112" t="s">
        <v>338</v>
      </c>
      <c r="F770" s="112" t="s">
        <v>153</v>
      </c>
      <c r="G770" s="112" t="s">
        <v>1169</v>
      </c>
      <c r="H770" s="129">
        <v>200</v>
      </c>
      <c r="I770" s="78"/>
      <c r="J770" s="331"/>
      <c r="K770" s="348">
        <f t="shared" si="87"/>
        <v>0</v>
      </c>
      <c r="L770" s="78"/>
      <c r="M770" s="78"/>
    </row>
    <row r="771" spans="1:13" ht="21.75" customHeight="1" hidden="1">
      <c r="A771" s="121" t="s">
        <v>210</v>
      </c>
      <c r="B771" s="347" t="s">
        <v>30</v>
      </c>
      <c r="C771" s="112" t="s">
        <v>57</v>
      </c>
      <c r="D771" s="112" t="s">
        <v>442</v>
      </c>
      <c r="E771" s="112" t="s">
        <v>338</v>
      </c>
      <c r="F771" s="112" t="s">
        <v>153</v>
      </c>
      <c r="G771" s="112" t="s">
        <v>211</v>
      </c>
      <c r="H771" s="129"/>
      <c r="I771" s="78">
        <f>I772+I773</f>
        <v>0</v>
      </c>
      <c r="J771" s="78">
        <f>J772+J773</f>
        <v>0</v>
      </c>
      <c r="K771" s="348">
        <f t="shared" si="87"/>
        <v>0</v>
      </c>
      <c r="L771" s="78">
        <f>L772+L773</f>
        <v>0</v>
      </c>
      <c r="M771" s="78">
        <f>M772+M773</f>
        <v>0</v>
      </c>
    </row>
    <row r="772" spans="1:13" ht="26.25" customHeight="1" hidden="1">
      <c r="A772" s="123" t="s">
        <v>758</v>
      </c>
      <c r="B772" s="347" t="s">
        <v>30</v>
      </c>
      <c r="C772" s="112" t="s">
        <v>57</v>
      </c>
      <c r="D772" s="112" t="s">
        <v>442</v>
      </c>
      <c r="E772" s="112" t="s">
        <v>338</v>
      </c>
      <c r="F772" s="112" t="s">
        <v>153</v>
      </c>
      <c r="G772" s="112" t="s">
        <v>211</v>
      </c>
      <c r="H772" s="129">
        <v>200</v>
      </c>
      <c r="I772" s="78"/>
      <c r="J772" s="331"/>
      <c r="K772" s="348">
        <f t="shared" si="87"/>
        <v>0</v>
      </c>
      <c r="L772" s="78"/>
      <c r="M772" s="78"/>
    </row>
    <row r="773" spans="1:13" ht="24" customHeight="1" hidden="1">
      <c r="A773" s="127" t="s">
        <v>767</v>
      </c>
      <c r="B773" s="347" t="s">
        <v>30</v>
      </c>
      <c r="C773" s="112" t="s">
        <v>57</v>
      </c>
      <c r="D773" s="112" t="s">
        <v>442</v>
      </c>
      <c r="E773" s="112" t="s">
        <v>338</v>
      </c>
      <c r="F773" s="112" t="s">
        <v>153</v>
      </c>
      <c r="G773" s="112" t="s">
        <v>211</v>
      </c>
      <c r="H773" s="129">
        <v>500</v>
      </c>
      <c r="I773" s="78"/>
      <c r="J773" s="331"/>
      <c r="K773" s="348">
        <f t="shared" si="87"/>
        <v>0</v>
      </c>
      <c r="L773" s="78"/>
      <c r="M773" s="78"/>
    </row>
    <row r="774" spans="1:15" ht="33.75" customHeight="1">
      <c r="A774" s="123" t="s">
        <v>491</v>
      </c>
      <c r="B774" s="352" t="s">
        <v>30</v>
      </c>
      <c r="C774" s="112" t="s">
        <v>57</v>
      </c>
      <c r="D774" s="112" t="s">
        <v>442</v>
      </c>
      <c r="E774" s="112" t="s">
        <v>338</v>
      </c>
      <c r="F774" s="112" t="s">
        <v>153</v>
      </c>
      <c r="G774" s="112" t="s">
        <v>486</v>
      </c>
      <c r="H774" s="143"/>
      <c r="I774" s="353">
        <f>I775+I776+I777</f>
        <v>0</v>
      </c>
      <c r="J774" s="353">
        <f>J775+J776+J777</f>
        <v>0</v>
      </c>
      <c r="K774" s="348">
        <f t="shared" si="87"/>
        <v>0</v>
      </c>
      <c r="L774" s="353">
        <f>L775+L776+L777</f>
        <v>13295</v>
      </c>
      <c r="M774" s="353">
        <f>M775+M776+M777</f>
        <v>12839.1</v>
      </c>
      <c r="N774" s="194"/>
      <c r="O774" s="194"/>
    </row>
    <row r="775" spans="1:15" ht="66.75" customHeight="1">
      <c r="A775" s="123" t="s">
        <v>755</v>
      </c>
      <c r="B775" s="352" t="s">
        <v>30</v>
      </c>
      <c r="C775" s="112" t="s">
        <v>57</v>
      </c>
      <c r="D775" s="112" t="s">
        <v>442</v>
      </c>
      <c r="E775" s="112" t="s">
        <v>338</v>
      </c>
      <c r="F775" s="112" t="s">
        <v>153</v>
      </c>
      <c r="G775" s="112" t="s">
        <v>486</v>
      </c>
      <c r="H775" s="143">
        <v>100</v>
      </c>
      <c r="I775" s="353"/>
      <c r="J775" s="353"/>
      <c r="K775" s="348">
        <f t="shared" si="87"/>
        <v>0</v>
      </c>
      <c r="L775" s="78">
        <f>9389.6+27-18.7</f>
        <v>9397.9</v>
      </c>
      <c r="M775" s="78">
        <f>9754-21</f>
        <v>9733</v>
      </c>
      <c r="N775" s="194"/>
      <c r="O775" s="194"/>
    </row>
    <row r="776" spans="1:15" s="194" customFormat="1" ht="33" customHeight="1">
      <c r="A776" s="123" t="s">
        <v>758</v>
      </c>
      <c r="B776" s="352" t="s">
        <v>30</v>
      </c>
      <c r="C776" s="112" t="s">
        <v>57</v>
      </c>
      <c r="D776" s="112" t="s">
        <v>442</v>
      </c>
      <c r="E776" s="112" t="s">
        <v>338</v>
      </c>
      <c r="F776" s="112" t="s">
        <v>153</v>
      </c>
      <c r="G776" s="112" t="s">
        <v>486</v>
      </c>
      <c r="H776" s="143">
        <v>200</v>
      </c>
      <c r="I776" s="353"/>
      <c r="J776" s="353"/>
      <c r="K776" s="348">
        <f t="shared" si="87"/>
        <v>0</v>
      </c>
      <c r="L776" s="78">
        <f>3868.4+18.7</f>
        <v>3887.1</v>
      </c>
      <c r="M776" s="78">
        <f>3075.1+21</f>
        <v>3096.1</v>
      </c>
      <c r="N776" s="327"/>
      <c r="O776" s="327"/>
    </row>
    <row r="777" spans="1:15" s="194" customFormat="1" ht="18.75" customHeight="1">
      <c r="A777" s="123" t="s">
        <v>759</v>
      </c>
      <c r="B777" s="352" t="s">
        <v>30</v>
      </c>
      <c r="C777" s="112" t="s">
        <v>57</v>
      </c>
      <c r="D777" s="112" t="s">
        <v>442</v>
      </c>
      <c r="E777" s="112" t="s">
        <v>338</v>
      </c>
      <c r="F777" s="112" t="s">
        <v>153</v>
      </c>
      <c r="G777" s="112" t="s">
        <v>486</v>
      </c>
      <c r="H777" s="143">
        <v>800</v>
      </c>
      <c r="I777" s="353"/>
      <c r="J777" s="353"/>
      <c r="K777" s="348">
        <f t="shared" si="87"/>
        <v>0</v>
      </c>
      <c r="L777" s="78">
        <v>10</v>
      </c>
      <c r="M777" s="78">
        <v>10</v>
      </c>
      <c r="N777" s="327"/>
      <c r="O777" s="327"/>
    </row>
    <row r="778" spans="1:13" ht="33" customHeight="1">
      <c r="A778" s="139" t="s">
        <v>1166</v>
      </c>
      <c r="B778" s="343" t="s">
        <v>32</v>
      </c>
      <c r="C778" s="107"/>
      <c r="D778" s="71"/>
      <c r="E778" s="71"/>
      <c r="F778" s="71"/>
      <c r="G778" s="71"/>
      <c r="H778" s="71"/>
      <c r="I778" s="37">
        <f>I779</f>
        <v>11718</v>
      </c>
      <c r="J778" s="37">
        <f>J779</f>
        <v>11718</v>
      </c>
      <c r="K778" s="344">
        <f t="shared" si="87"/>
        <v>0</v>
      </c>
      <c r="L778" s="37">
        <f>L779</f>
        <v>10194.8</v>
      </c>
      <c r="M778" s="37">
        <f>M779</f>
        <v>10583.4</v>
      </c>
    </row>
    <row r="779" spans="1:13" ht="21" customHeight="1">
      <c r="A779" s="139" t="s">
        <v>42</v>
      </c>
      <c r="B779" s="343" t="s">
        <v>32</v>
      </c>
      <c r="C779" s="107" t="s">
        <v>43</v>
      </c>
      <c r="D779" s="71"/>
      <c r="E779" s="71"/>
      <c r="F779" s="71"/>
      <c r="G779" s="71"/>
      <c r="H779" s="71"/>
      <c r="I779" s="37">
        <f>I780+I785+I800</f>
        <v>11718</v>
      </c>
      <c r="J779" s="37">
        <f>J780+J785+J800</f>
        <v>11718</v>
      </c>
      <c r="K779" s="344">
        <f t="shared" si="87"/>
        <v>0</v>
      </c>
      <c r="L779" s="37">
        <f>L780+L785+L800</f>
        <v>10194.8</v>
      </c>
      <c r="M779" s="37">
        <f>M780+M785+M800</f>
        <v>10583.4</v>
      </c>
    </row>
    <row r="780" spans="1:13" ht="33.75" customHeight="1">
      <c r="A780" s="139" t="s">
        <v>44</v>
      </c>
      <c r="B780" s="343" t="s">
        <v>32</v>
      </c>
      <c r="C780" s="107" t="s">
        <v>45</v>
      </c>
      <c r="D780" s="107">
        <v>67</v>
      </c>
      <c r="E780" s="107">
        <v>0</v>
      </c>
      <c r="F780" s="107" t="s">
        <v>155</v>
      </c>
      <c r="G780" s="107" t="s">
        <v>156</v>
      </c>
      <c r="H780" s="105"/>
      <c r="I780" s="37">
        <f aca="true" t="shared" si="98" ref="I780:M783">I781</f>
        <v>3619.8</v>
      </c>
      <c r="J780" s="37">
        <f t="shared" si="98"/>
        <v>3047.3</v>
      </c>
      <c r="K780" s="344">
        <f t="shared" si="87"/>
        <v>-572.5</v>
      </c>
      <c r="L780" s="37">
        <f t="shared" si="98"/>
        <v>3988.2</v>
      </c>
      <c r="M780" s="37">
        <f t="shared" si="98"/>
        <v>4147.7</v>
      </c>
    </row>
    <row r="781" spans="1:13" ht="20.25" customHeight="1">
      <c r="A781" s="136" t="s">
        <v>409</v>
      </c>
      <c r="B781" s="343" t="s">
        <v>32</v>
      </c>
      <c r="C781" s="107" t="s">
        <v>45</v>
      </c>
      <c r="D781" s="71" t="s">
        <v>408</v>
      </c>
      <c r="E781" s="71" t="s">
        <v>136</v>
      </c>
      <c r="F781" s="71" t="s">
        <v>155</v>
      </c>
      <c r="G781" s="71" t="s">
        <v>156</v>
      </c>
      <c r="H781" s="71"/>
      <c r="I781" s="37">
        <f t="shared" si="98"/>
        <v>3619.8</v>
      </c>
      <c r="J781" s="37">
        <f t="shared" si="98"/>
        <v>3047.3</v>
      </c>
      <c r="K781" s="344">
        <f t="shared" si="87"/>
        <v>-572.5</v>
      </c>
      <c r="L781" s="37">
        <f t="shared" si="98"/>
        <v>3988.2</v>
      </c>
      <c r="M781" s="37">
        <f t="shared" si="98"/>
        <v>4147.7</v>
      </c>
    </row>
    <row r="782" spans="1:13" s="355" customFormat="1" ht="18.75" customHeight="1">
      <c r="A782" s="137" t="s">
        <v>410</v>
      </c>
      <c r="B782" s="343" t="s">
        <v>32</v>
      </c>
      <c r="C782" s="107" t="s">
        <v>45</v>
      </c>
      <c r="D782" s="107" t="s">
        <v>408</v>
      </c>
      <c r="E782" s="107" t="s">
        <v>136</v>
      </c>
      <c r="F782" s="107" t="s">
        <v>153</v>
      </c>
      <c r="G782" s="107" t="s">
        <v>156</v>
      </c>
      <c r="H782" s="105"/>
      <c r="I782" s="37">
        <f t="shared" si="98"/>
        <v>3619.8</v>
      </c>
      <c r="J782" s="37">
        <f t="shared" si="98"/>
        <v>3047.3</v>
      </c>
      <c r="K782" s="344">
        <f t="shared" si="87"/>
        <v>-572.5</v>
      </c>
      <c r="L782" s="37">
        <f t="shared" si="98"/>
        <v>3988.2</v>
      </c>
      <c r="M782" s="37">
        <f t="shared" si="98"/>
        <v>4147.7</v>
      </c>
    </row>
    <row r="783" spans="1:13" ht="21" customHeight="1">
      <c r="A783" s="123" t="s">
        <v>411</v>
      </c>
      <c r="B783" s="347" t="s">
        <v>32</v>
      </c>
      <c r="C783" s="112" t="s">
        <v>45</v>
      </c>
      <c r="D783" s="112" t="s">
        <v>408</v>
      </c>
      <c r="E783" s="112" t="s">
        <v>136</v>
      </c>
      <c r="F783" s="112" t="s">
        <v>153</v>
      </c>
      <c r="G783" s="112" t="s">
        <v>412</v>
      </c>
      <c r="H783" s="129"/>
      <c r="I783" s="78">
        <f t="shared" si="98"/>
        <v>3619.8</v>
      </c>
      <c r="J783" s="78">
        <f>J784</f>
        <v>3047.3</v>
      </c>
      <c r="K783" s="348">
        <f t="shared" si="87"/>
        <v>-572.5</v>
      </c>
      <c r="L783" s="78">
        <f t="shared" si="98"/>
        <v>3988.2</v>
      </c>
      <c r="M783" s="78">
        <f t="shared" si="98"/>
        <v>4147.7</v>
      </c>
    </row>
    <row r="784" spans="1:13" ht="64.5" customHeight="1">
      <c r="A784" s="123" t="s">
        <v>755</v>
      </c>
      <c r="B784" s="347" t="s">
        <v>32</v>
      </c>
      <c r="C784" s="112" t="s">
        <v>45</v>
      </c>
      <c r="D784" s="112" t="s">
        <v>408</v>
      </c>
      <c r="E784" s="112" t="s">
        <v>136</v>
      </c>
      <c r="F784" s="112" t="s">
        <v>153</v>
      </c>
      <c r="G784" s="112" t="s">
        <v>412</v>
      </c>
      <c r="H784" s="129">
        <v>100</v>
      </c>
      <c r="I784" s="78">
        <f>3834.8-215</f>
        <v>3619.8</v>
      </c>
      <c r="J784" s="78">
        <f>3834.8-215-439.5-133</f>
        <v>3047.3</v>
      </c>
      <c r="K784" s="348">
        <f t="shared" si="87"/>
        <v>-572.5</v>
      </c>
      <c r="L784" s="78">
        <v>3988.2</v>
      </c>
      <c r="M784" s="78">
        <v>4147.7</v>
      </c>
    </row>
    <row r="785" spans="1:13" ht="43.5" customHeight="1">
      <c r="A785" s="137" t="s">
        <v>46</v>
      </c>
      <c r="B785" s="343" t="s">
        <v>32</v>
      </c>
      <c r="C785" s="107" t="s">
        <v>47</v>
      </c>
      <c r="D785" s="107"/>
      <c r="E785" s="107"/>
      <c r="F785" s="107"/>
      <c r="G785" s="107"/>
      <c r="H785" s="105"/>
      <c r="I785" s="37">
        <f>I786+I791</f>
        <v>5053.099999999999</v>
      </c>
      <c r="J785" s="37">
        <f>J786+J791</f>
        <v>5625.599999999999</v>
      </c>
      <c r="K785" s="344">
        <f t="shared" si="87"/>
        <v>572.5</v>
      </c>
      <c r="L785" s="37">
        <f>L786+L791</f>
        <v>4822.599999999999</v>
      </c>
      <c r="M785" s="37">
        <f>M786+M791</f>
        <v>4988.7</v>
      </c>
    </row>
    <row r="786" spans="1:13" ht="53.25" customHeight="1">
      <c r="A786" s="122" t="s">
        <v>340</v>
      </c>
      <c r="B786" s="343" t="s">
        <v>32</v>
      </c>
      <c r="C786" s="107" t="s">
        <v>47</v>
      </c>
      <c r="D786" s="71" t="s">
        <v>309</v>
      </c>
      <c r="E786" s="71" t="s">
        <v>154</v>
      </c>
      <c r="F786" s="71" t="s">
        <v>155</v>
      </c>
      <c r="G786" s="71" t="s">
        <v>156</v>
      </c>
      <c r="H786" s="71"/>
      <c r="I786" s="37">
        <f aca="true" t="shared" si="99" ref="I786:M789">I787</f>
        <v>19</v>
      </c>
      <c r="J786" s="37">
        <f t="shared" si="99"/>
        <v>19</v>
      </c>
      <c r="K786" s="344">
        <f aca="true" t="shared" si="100" ref="K786:K854">J786-I786</f>
        <v>0</v>
      </c>
      <c r="L786" s="37">
        <f t="shared" si="99"/>
        <v>19</v>
      </c>
      <c r="M786" s="37">
        <f t="shared" si="99"/>
        <v>20</v>
      </c>
    </row>
    <row r="787" spans="1:13" ht="36.75" customHeight="1">
      <c r="A787" s="109" t="s">
        <v>912</v>
      </c>
      <c r="B787" s="343" t="s">
        <v>32</v>
      </c>
      <c r="C787" s="107" t="s">
        <v>47</v>
      </c>
      <c r="D787" s="71" t="s">
        <v>309</v>
      </c>
      <c r="E787" s="71" t="s">
        <v>139</v>
      </c>
      <c r="F787" s="71" t="s">
        <v>155</v>
      </c>
      <c r="G787" s="71" t="s">
        <v>156</v>
      </c>
      <c r="H787" s="71"/>
      <c r="I787" s="37">
        <f t="shared" si="99"/>
        <v>19</v>
      </c>
      <c r="J787" s="37">
        <f t="shared" si="99"/>
        <v>19</v>
      </c>
      <c r="K787" s="344">
        <f t="shared" si="100"/>
        <v>0</v>
      </c>
      <c r="L787" s="37">
        <f t="shared" si="99"/>
        <v>19</v>
      </c>
      <c r="M787" s="37">
        <f t="shared" si="99"/>
        <v>20</v>
      </c>
    </row>
    <row r="788" spans="1:13" s="355" customFormat="1" ht="33.75" customHeight="1">
      <c r="A788" s="109" t="s">
        <v>913</v>
      </c>
      <c r="B788" s="343" t="s">
        <v>32</v>
      </c>
      <c r="C788" s="107" t="s">
        <v>47</v>
      </c>
      <c r="D788" s="71" t="s">
        <v>309</v>
      </c>
      <c r="E788" s="71" t="s">
        <v>139</v>
      </c>
      <c r="F788" s="71" t="s">
        <v>153</v>
      </c>
      <c r="G788" s="71" t="s">
        <v>156</v>
      </c>
      <c r="H788" s="71"/>
      <c r="I788" s="37">
        <f t="shared" si="99"/>
        <v>19</v>
      </c>
      <c r="J788" s="37">
        <f t="shared" si="99"/>
        <v>19</v>
      </c>
      <c r="K788" s="344">
        <f t="shared" si="100"/>
        <v>0</v>
      </c>
      <c r="L788" s="37">
        <f t="shared" si="99"/>
        <v>19</v>
      </c>
      <c r="M788" s="37">
        <f t="shared" si="99"/>
        <v>20</v>
      </c>
    </row>
    <row r="789" spans="1:13" ht="32.25" customHeight="1">
      <c r="A789" s="127" t="s">
        <v>352</v>
      </c>
      <c r="B789" s="347" t="s">
        <v>32</v>
      </c>
      <c r="C789" s="112" t="s">
        <v>47</v>
      </c>
      <c r="D789" s="111" t="s">
        <v>309</v>
      </c>
      <c r="E789" s="111" t="s">
        <v>139</v>
      </c>
      <c r="F789" s="111" t="s">
        <v>153</v>
      </c>
      <c r="G789" s="111" t="s">
        <v>353</v>
      </c>
      <c r="H789" s="111"/>
      <c r="I789" s="78">
        <f t="shared" si="99"/>
        <v>19</v>
      </c>
      <c r="J789" s="78">
        <f t="shared" si="99"/>
        <v>19</v>
      </c>
      <c r="K789" s="348">
        <f t="shared" si="100"/>
        <v>0</v>
      </c>
      <c r="L789" s="78">
        <f t="shared" si="99"/>
        <v>19</v>
      </c>
      <c r="M789" s="78">
        <f t="shared" si="99"/>
        <v>20</v>
      </c>
    </row>
    <row r="790" spans="1:13" ht="31.5" customHeight="1">
      <c r="A790" s="123" t="s">
        <v>758</v>
      </c>
      <c r="B790" s="347" t="s">
        <v>32</v>
      </c>
      <c r="C790" s="112" t="s">
        <v>47</v>
      </c>
      <c r="D790" s="111" t="s">
        <v>309</v>
      </c>
      <c r="E790" s="111" t="s">
        <v>139</v>
      </c>
      <c r="F790" s="111" t="s">
        <v>153</v>
      </c>
      <c r="G790" s="111" t="s">
        <v>353</v>
      </c>
      <c r="H790" s="111" t="s">
        <v>757</v>
      </c>
      <c r="I790" s="78">
        <f>19+22-22</f>
        <v>19</v>
      </c>
      <c r="J790" s="78">
        <f>19+22-22</f>
        <v>19</v>
      </c>
      <c r="K790" s="348">
        <f t="shared" si="100"/>
        <v>0</v>
      </c>
      <c r="L790" s="78">
        <f>19+23-23</f>
        <v>19</v>
      </c>
      <c r="M790" s="78">
        <f>20+24-24</f>
        <v>20</v>
      </c>
    </row>
    <row r="791" spans="1:13" ht="31.5" customHeight="1">
      <c r="A791" s="139" t="s">
        <v>407</v>
      </c>
      <c r="B791" s="343" t="s">
        <v>32</v>
      </c>
      <c r="C791" s="107" t="s">
        <v>47</v>
      </c>
      <c r="D791" s="71" t="s">
        <v>408</v>
      </c>
      <c r="E791" s="71" t="s">
        <v>154</v>
      </c>
      <c r="F791" s="71" t="s">
        <v>155</v>
      </c>
      <c r="G791" s="71" t="s">
        <v>156</v>
      </c>
      <c r="H791" s="105"/>
      <c r="I791" s="37">
        <f aca="true" t="shared" si="101" ref="I791:M792">I792</f>
        <v>5034.099999999999</v>
      </c>
      <c r="J791" s="37">
        <f t="shared" si="101"/>
        <v>5606.599999999999</v>
      </c>
      <c r="K791" s="344">
        <f t="shared" si="100"/>
        <v>572.5</v>
      </c>
      <c r="L791" s="37">
        <f t="shared" si="101"/>
        <v>4803.599999999999</v>
      </c>
      <c r="M791" s="37">
        <f t="shared" si="101"/>
        <v>4968.7</v>
      </c>
    </row>
    <row r="792" spans="1:13" ht="33" customHeight="1">
      <c r="A792" s="136" t="s">
        <v>508</v>
      </c>
      <c r="B792" s="343" t="s">
        <v>32</v>
      </c>
      <c r="C792" s="107" t="s">
        <v>47</v>
      </c>
      <c r="D792" s="71" t="s">
        <v>408</v>
      </c>
      <c r="E792" s="71" t="s">
        <v>139</v>
      </c>
      <c r="F792" s="71" t="s">
        <v>155</v>
      </c>
      <c r="G792" s="71" t="s">
        <v>156</v>
      </c>
      <c r="H792" s="71"/>
      <c r="I792" s="37">
        <f t="shared" si="101"/>
        <v>5034.099999999999</v>
      </c>
      <c r="J792" s="37">
        <f t="shared" si="101"/>
        <v>5606.599999999999</v>
      </c>
      <c r="K792" s="344">
        <f t="shared" si="100"/>
        <v>572.5</v>
      </c>
      <c r="L792" s="37">
        <f t="shared" si="101"/>
        <v>4803.599999999999</v>
      </c>
      <c r="M792" s="37">
        <f t="shared" si="101"/>
        <v>4968.7</v>
      </c>
    </row>
    <row r="793" spans="1:13" s="355" customFormat="1" ht="18" customHeight="1">
      <c r="A793" s="137" t="s">
        <v>410</v>
      </c>
      <c r="B793" s="343" t="s">
        <v>32</v>
      </c>
      <c r="C793" s="107" t="s">
        <v>47</v>
      </c>
      <c r="D793" s="107" t="s">
        <v>408</v>
      </c>
      <c r="E793" s="107" t="s">
        <v>139</v>
      </c>
      <c r="F793" s="107" t="s">
        <v>153</v>
      </c>
      <c r="G793" s="107" t="s">
        <v>156</v>
      </c>
      <c r="H793" s="153"/>
      <c r="I793" s="88">
        <f>I794+I798</f>
        <v>5034.099999999999</v>
      </c>
      <c r="J793" s="88">
        <f>J794+J798</f>
        <v>5606.599999999999</v>
      </c>
      <c r="K793" s="344">
        <f t="shared" si="100"/>
        <v>572.5</v>
      </c>
      <c r="L793" s="88">
        <f>L794+L798</f>
        <v>4803.599999999999</v>
      </c>
      <c r="M793" s="88">
        <f>M794+M798</f>
        <v>4968.7</v>
      </c>
    </row>
    <row r="794" spans="1:13" ht="18.75" customHeight="1">
      <c r="A794" s="123" t="s">
        <v>411</v>
      </c>
      <c r="B794" s="347" t="s">
        <v>32</v>
      </c>
      <c r="C794" s="112" t="s">
        <v>47</v>
      </c>
      <c r="D794" s="112" t="s">
        <v>408</v>
      </c>
      <c r="E794" s="112" t="s">
        <v>139</v>
      </c>
      <c r="F794" s="112" t="s">
        <v>153</v>
      </c>
      <c r="G794" s="112" t="s">
        <v>412</v>
      </c>
      <c r="H794" s="129"/>
      <c r="I794" s="78">
        <f>I795+I796+I797</f>
        <v>4382.4</v>
      </c>
      <c r="J794" s="78">
        <f>J795+J796+J797</f>
        <v>4954.9</v>
      </c>
      <c r="K794" s="348">
        <f t="shared" si="100"/>
        <v>572.5</v>
      </c>
      <c r="L794" s="78">
        <f>L795+L796+L797</f>
        <v>4151.9</v>
      </c>
      <c r="M794" s="78">
        <f>M795+M796+M797</f>
        <v>4317</v>
      </c>
    </row>
    <row r="795" spans="1:13" ht="63.75" customHeight="1">
      <c r="A795" s="123" t="s">
        <v>755</v>
      </c>
      <c r="B795" s="347" t="s">
        <v>32</v>
      </c>
      <c r="C795" s="112" t="s">
        <v>47</v>
      </c>
      <c r="D795" s="112" t="s">
        <v>408</v>
      </c>
      <c r="E795" s="112" t="s">
        <v>139</v>
      </c>
      <c r="F795" s="112" t="s">
        <v>153</v>
      </c>
      <c r="G795" s="112" t="s">
        <v>412</v>
      </c>
      <c r="H795" s="129">
        <v>100</v>
      </c>
      <c r="I795" s="78">
        <v>3651.5</v>
      </c>
      <c r="J795" s="78">
        <f>3651.5+570</f>
        <v>4221.5</v>
      </c>
      <c r="K795" s="348">
        <f t="shared" si="100"/>
        <v>570</v>
      </c>
      <c r="L795" s="78">
        <v>3797.2</v>
      </c>
      <c r="M795" s="78">
        <v>3948.6</v>
      </c>
    </row>
    <row r="796" spans="1:15" ht="30.75" customHeight="1">
      <c r="A796" s="123" t="s">
        <v>758</v>
      </c>
      <c r="B796" s="347" t="s">
        <v>32</v>
      </c>
      <c r="C796" s="112" t="s">
        <v>47</v>
      </c>
      <c r="D796" s="112" t="s">
        <v>408</v>
      </c>
      <c r="E796" s="112" t="s">
        <v>139</v>
      </c>
      <c r="F796" s="112" t="s">
        <v>153</v>
      </c>
      <c r="G796" s="112" t="s">
        <v>412</v>
      </c>
      <c r="H796" s="129">
        <v>200</v>
      </c>
      <c r="I796" s="78">
        <f>340+175.4+215</f>
        <v>730.4</v>
      </c>
      <c r="J796" s="78">
        <f>340+175.4+215</f>
        <v>730.4</v>
      </c>
      <c r="K796" s="348">
        <f t="shared" si="100"/>
        <v>0</v>
      </c>
      <c r="L796" s="78">
        <v>354.2</v>
      </c>
      <c r="M796" s="78">
        <v>367.9</v>
      </c>
      <c r="N796" s="355"/>
      <c r="O796" s="355"/>
    </row>
    <row r="797" spans="1:13" ht="21" customHeight="1">
      <c r="A797" s="123" t="s">
        <v>759</v>
      </c>
      <c r="B797" s="347">
        <v>114</v>
      </c>
      <c r="C797" s="112" t="s">
        <v>47</v>
      </c>
      <c r="D797" s="112" t="s">
        <v>408</v>
      </c>
      <c r="E797" s="112" t="s">
        <v>139</v>
      </c>
      <c r="F797" s="112" t="s">
        <v>153</v>
      </c>
      <c r="G797" s="112" t="s">
        <v>412</v>
      </c>
      <c r="H797" s="129">
        <v>800</v>
      </c>
      <c r="I797" s="78">
        <v>0.5</v>
      </c>
      <c r="J797" s="78">
        <f>0.5+2.5</f>
        <v>3</v>
      </c>
      <c r="K797" s="348">
        <f t="shared" si="100"/>
        <v>2.5</v>
      </c>
      <c r="L797" s="78">
        <v>0.5</v>
      </c>
      <c r="M797" s="78">
        <v>0.5</v>
      </c>
    </row>
    <row r="798" spans="1:15" s="355" customFormat="1" ht="35.25" customHeight="1">
      <c r="A798" s="123" t="s">
        <v>518</v>
      </c>
      <c r="B798" s="347" t="s">
        <v>32</v>
      </c>
      <c r="C798" s="112" t="s">
        <v>47</v>
      </c>
      <c r="D798" s="112" t="s">
        <v>408</v>
      </c>
      <c r="E798" s="112" t="s">
        <v>139</v>
      </c>
      <c r="F798" s="112" t="s">
        <v>153</v>
      </c>
      <c r="G798" s="112" t="s">
        <v>437</v>
      </c>
      <c r="H798" s="129"/>
      <c r="I798" s="78">
        <f>I799</f>
        <v>651.7</v>
      </c>
      <c r="J798" s="78">
        <f>J799</f>
        <v>651.7</v>
      </c>
      <c r="K798" s="348">
        <f t="shared" si="100"/>
        <v>0</v>
      </c>
      <c r="L798" s="78">
        <f>L799</f>
        <v>651.7</v>
      </c>
      <c r="M798" s="78">
        <f>M799</f>
        <v>651.7</v>
      </c>
      <c r="N798" s="327"/>
      <c r="O798" s="327"/>
    </row>
    <row r="799" spans="1:13" ht="64.5" customHeight="1">
      <c r="A799" s="123" t="s">
        <v>755</v>
      </c>
      <c r="B799" s="347" t="s">
        <v>32</v>
      </c>
      <c r="C799" s="112" t="s">
        <v>47</v>
      </c>
      <c r="D799" s="112" t="s">
        <v>408</v>
      </c>
      <c r="E799" s="112" t="s">
        <v>139</v>
      </c>
      <c r="F799" s="112" t="s">
        <v>153</v>
      </c>
      <c r="G799" s="112" t="s">
        <v>437</v>
      </c>
      <c r="H799" s="129">
        <v>100</v>
      </c>
      <c r="I799" s="78">
        <v>651.7</v>
      </c>
      <c r="J799" s="78">
        <v>651.7</v>
      </c>
      <c r="K799" s="348">
        <f t="shared" si="100"/>
        <v>0</v>
      </c>
      <c r="L799" s="78">
        <v>651.7</v>
      </c>
      <c r="M799" s="78">
        <v>651.7</v>
      </c>
    </row>
    <row r="800" spans="1:13" ht="21.75" customHeight="1">
      <c r="A800" s="139" t="s">
        <v>56</v>
      </c>
      <c r="B800" s="343" t="s">
        <v>32</v>
      </c>
      <c r="C800" s="107" t="s">
        <v>57</v>
      </c>
      <c r="D800" s="71"/>
      <c r="E800" s="71"/>
      <c r="F800" s="71"/>
      <c r="G800" s="71"/>
      <c r="H800" s="71"/>
      <c r="I800" s="37">
        <f>I806+I811+I801</f>
        <v>3045.1</v>
      </c>
      <c r="J800" s="37">
        <f>J806+J811+J801</f>
        <v>3045.1</v>
      </c>
      <c r="K800" s="348">
        <f t="shared" si="100"/>
        <v>0</v>
      </c>
      <c r="L800" s="37">
        <f>L806+L811+L801</f>
        <v>1384</v>
      </c>
      <c r="M800" s="37">
        <f>M806+M811+M801</f>
        <v>1447</v>
      </c>
    </row>
    <row r="801" spans="1:13" ht="51.75" customHeight="1">
      <c r="A801" s="122" t="s">
        <v>340</v>
      </c>
      <c r="B801" s="343" t="s">
        <v>32</v>
      </c>
      <c r="C801" s="107" t="s">
        <v>57</v>
      </c>
      <c r="D801" s="71" t="s">
        <v>309</v>
      </c>
      <c r="E801" s="71" t="s">
        <v>154</v>
      </c>
      <c r="F801" s="71" t="s">
        <v>155</v>
      </c>
      <c r="G801" s="71" t="s">
        <v>156</v>
      </c>
      <c r="H801" s="71"/>
      <c r="I801" s="37">
        <f aca="true" t="shared" si="102" ref="I801:J804">I802</f>
        <v>22</v>
      </c>
      <c r="J801" s="37">
        <f t="shared" si="102"/>
        <v>22</v>
      </c>
      <c r="K801" s="344">
        <f t="shared" si="100"/>
        <v>0</v>
      </c>
      <c r="L801" s="37">
        <f aca="true" t="shared" si="103" ref="L801:M804">L802</f>
        <v>23</v>
      </c>
      <c r="M801" s="37">
        <f t="shared" si="103"/>
        <v>24</v>
      </c>
    </row>
    <row r="802" spans="1:13" ht="37.5" customHeight="1">
      <c r="A802" s="109" t="s">
        <v>912</v>
      </c>
      <c r="B802" s="343" t="s">
        <v>32</v>
      </c>
      <c r="C802" s="107" t="s">
        <v>57</v>
      </c>
      <c r="D802" s="71" t="s">
        <v>309</v>
      </c>
      <c r="E802" s="71" t="s">
        <v>139</v>
      </c>
      <c r="F802" s="71" t="s">
        <v>155</v>
      </c>
      <c r="G802" s="71" t="s">
        <v>156</v>
      </c>
      <c r="H802" s="71"/>
      <c r="I802" s="37">
        <f t="shared" si="102"/>
        <v>22</v>
      </c>
      <c r="J802" s="37">
        <f t="shared" si="102"/>
        <v>22</v>
      </c>
      <c r="K802" s="344">
        <f t="shared" si="100"/>
        <v>0</v>
      </c>
      <c r="L802" s="37">
        <f t="shared" si="103"/>
        <v>23</v>
      </c>
      <c r="M802" s="37">
        <f t="shared" si="103"/>
        <v>24</v>
      </c>
    </row>
    <row r="803" spans="1:13" ht="32.25" customHeight="1">
      <c r="A803" s="109" t="s">
        <v>913</v>
      </c>
      <c r="B803" s="343" t="s">
        <v>32</v>
      </c>
      <c r="C803" s="107" t="s">
        <v>57</v>
      </c>
      <c r="D803" s="71" t="s">
        <v>309</v>
      </c>
      <c r="E803" s="71" t="s">
        <v>139</v>
      </c>
      <c r="F803" s="71" t="s">
        <v>153</v>
      </c>
      <c r="G803" s="71" t="s">
        <v>156</v>
      </c>
      <c r="H803" s="71"/>
      <c r="I803" s="37">
        <f t="shared" si="102"/>
        <v>22</v>
      </c>
      <c r="J803" s="37">
        <f t="shared" si="102"/>
        <v>22</v>
      </c>
      <c r="K803" s="344">
        <f t="shared" si="100"/>
        <v>0</v>
      </c>
      <c r="L803" s="37">
        <f t="shared" si="103"/>
        <v>23</v>
      </c>
      <c r="M803" s="37">
        <f t="shared" si="103"/>
        <v>24</v>
      </c>
    </row>
    <row r="804" spans="1:13" ht="37.5" customHeight="1">
      <c r="A804" s="114" t="s">
        <v>914</v>
      </c>
      <c r="B804" s="347" t="s">
        <v>32</v>
      </c>
      <c r="C804" s="112" t="s">
        <v>57</v>
      </c>
      <c r="D804" s="111" t="s">
        <v>309</v>
      </c>
      <c r="E804" s="111" t="s">
        <v>139</v>
      </c>
      <c r="F804" s="111" t="s">
        <v>153</v>
      </c>
      <c r="G804" s="112" t="s">
        <v>351</v>
      </c>
      <c r="H804" s="111"/>
      <c r="I804" s="78">
        <f t="shared" si="102"/>
        <v>22</v>
      </c>
      <c r="J804" s="78">
        <f t="shared" si="102"/>
        <v>22</v>
      </c>
      <c r="K804" s="348">
        <f t="shared" si="100"/>
        <v>0</v>
      </c>
      <c r="L804" s="78">
        <f t="shared" si="103"/>
        <v>23</v>
      </c>
      <c r="M804" s="78">
        <f t="shared" si="103"/>
        <v>24</v>
      </c>
    </row>
    <row r="805" spans="1:13" ht="33" customHeight="1">
      <c r="A805" s="114" t="s">
        <v>758</v>
      </c>
      <c r="B805" s="347" t="s">
        <v>32</v>
      </c>
      <c r="C805" s="112" t="s">
        <v>57</v>
      </c>
      <c r="D805" s="111" t="s">
        <v>309</v>
      </c>
      <c r="E805" s="111" t="s">
        <v>139</v>
      </c>
      <c r="F805" s="111" t="s">
        <v>153</v>
      </c>
      <c r="G805" s="112" t="s">
        <v>351</v>
      </c>
      <c r="H805" s="111" t="s">
        <v>757</v>
      </c>
      <c r="I805" s="78">
        <v>22</v>
      </c>
      <c r="J805" s="78">
        <v>22</v>
      </c>
      <c r="K805" s="348">
        <f t="shared" si="100"/>
        <v>0</v>
      </c>
      <c r="L805" s="78">
        <v>23</v>
      </c>
      <c r="M805" s="78">
        <v>24</v>
      </c>
    </row>
    <row r="806" spans="1:13" ht="45.75" customHeight="1">
      <c r="A806" s="139" t="s">
        <v>386</v>
      </c>
      <c r="B806" s="343" t="s">
        <v>32</v>
      </c>
      <c r="C806" s="107" t="s">
        <v>57</v>
      </c>
      <c r="D806" s="71" t="s">
        <v>354</v>
      </c>
      <c r="E806" s="71" t="s">
        <v>154</v>
      </c>
      <c r="F806" s="71" t="s">
        <v>155</v>
      </c>
      <c r="G806" s="71" t="s">
        <v>156</v>
      </c>
      <c r="H806" s="71"/>
      <c r="I806" s="37">
        <f aca="true" t="shared" si="104" ref="I806:M809">I807</f>
        <v>2689.1</v>
      </c>
      <c r="J806" s="37">
        <f t="shared" si="104"/>
        <v>2689.1</v>
      </c>
      <c r="K806" s="344">
        <f t="shared" si="100"/>
        <v>0</v>
      </c>
      <c r="L806" s="37">
        <f t="shared" si="104"/>
        <v>1013</v>
      </c>
      <c r="M806" s="37">
        <f t="shared" si="104"/>
        <v>1060</v>
      </c>
    </row>
    <row r="807" spans="1:13" ht="21" customHeight="1">
      <c r="A807" s="136" t="s">
        <v>519</v>
      </c>
      <c r="B807" s="343" t="s">
        <v>32</v>
      </c>
      <c r="C807" s="107" t="s">
        <v>57</v>
      </c>
      <c r="D807" s="71" t="s">
        <v>354</v>
      </c>
      <c r="E807" s="71" t="s">
        <v>136</v>
      </c>
      <c r="F807" s="71" t="s">
        <v>155</v>
      </c>
      <c r="G807" s="71" t="s">
        <v>156</v>
      </c>
      <c r="H807" s="71"/>
      <c r="I807" s="37">
        <f t="shared" si="104"/>
        <v>2689.1</v>
      </c>
      <c r="J807" s="37">
        <f t="shared" si="104"/>
        <v>2689.1</v>
      </c>
      <c r="K807" s="344">
        <f t="shared" si="100"/>
        <v>0</v>
      </c>
      <c r="L807" s="37">
        <f t="shared" si="104"/>
        <v>1013</v>
      </c>
      <c r="M807" s="37">
        <f t="shared" si="104"/>
        <v>1060</v>
      </c>
    </row>
    <row r="808" spans="1:13" s="355" customFormat="1" ht="44.25" customHeight="1">
      <c r="A808" s="137" t="s">
        <v>389</v>
      </c>
      <c r="B808" s="343" t="s">
        <v>32</v>
      </c>
      <c r="C808" s="107" t="s">
        <v>57</v>
      </c>
      <c r="D808" s="71" t="s">
        <v>354</v>
      </c>
      <c r="E808" s="71" t="s">
        <v>136</v>
      </c>
      <c r="F808" s="71" t="s">
        <v>153</v>
      </c>
      <c r="G808" s="71" t="s">
        <v>156</v>
      </c>
      <c r="H808" s="71"/>
      <c r="I808" s="37">
        <f t="shared" si="104"/>
        <v>2689.1</v>
      </c>
      <c r="J808" s="37">
        <f t="shared" si="104"/>
        <v>2689.1</v>
      </c>
      <c r="K808" s="344">
        <f t="shared" si="100"/>
        <v>0</v>
      </c>
      <c r="L808" s="37">
        <f t="shared" si="104"/>
        <v>1013</v>
      </c>
      <c r="M808" s="37">
        <f t="shared" si="104"/>
        <v>1060</v>
      </c>
    </row>
    <row r="809" spans="1:15" ht="81" customHeight="1">
      <c r="A809" s="127" t="s">
        <v>390</v>
      </c>
      <c r="B809" s="347" t="s">
        <v>32</v>
      </c>
      <c r="C809" s="112" t="s">
        <v>57</v>
      </c>
      <c r="D809" s="111" t="s">
        <v>354</v>
      </c>
      <c r="E809" s="111" t="s">
        <v>136</v>
      </c>
      <c r="F809" s="111" t="s">
        <v>153</v>
      </c>
      <c r="G809" s="111" t="s">
        <v>391</v>
      </c>
      <c r="H809" s="111"/>
      <c r="I809" s="78">
        <f t="shared" si="104"/>
        <v>2689.1</v>
      </c>
      <c r="J809" s="78">
        <f t="shared" si="104"/>
        <v>2689.1</v>
      </c>
      <c r="K809" s="348">
        <f t="shared" si="100"/>
        <v>0</v>
      </c>
      <c r="L809" s="78">
        <f t="shared" si="104"/>
        <v>1013</v>
      </c>
      <c r="M809" s="78">
        <f t="shared" si="104"/>
        <v>1060</v>
      </c>
      <c r="N809" s="355"/>
      <c r="O809" s="355"/>
    </row>
    <row r="810" spans="1:13" s="355" customFormat="1" ht="33" customHeight="1">
      <c r="A810" s="123" t="s">
        <v>758</v>
      </c>
      <c r="B810" s="347" t="s">
        <v>32</v>
      </c>
      <c r="C810" s="112" t="s">
        <v>57</v>
      </c>
      <c r="D810" s="111" t="s">
        <v>354</v>
      </c>
      <c r="E810" s="111" t="s">
        <v>136</v>
      </c>
      <c r="F810" s="111" t="s">
        <v>153</v>
      </c>
      <c r="G810" s="111" t="s">
        <v>391</v>
      </c>
      <c r="H810" s="111" t="s">
        <v>757</v>
      </c>
      <c r="I810" s="78">
        <f>966+1053.1+350+320</f>
        <v>2689.1</v>
      </c>
      <c r="J810" s="78">
        <f>966+1053.1+350+320</f>
        <v>2689.1</v>
      </c>
      <c r="K810" s="348">
        <f t="shared" si="100"/>
        <v>0</v>
      </c>
      <c r="L810" s="78">
        <v>1013</v>
      </c>
      <c r="M810" s="78">
        <v>1060</v>
      </c>
    </row>
    <row r="811" spans="1:15" s="355" customFormat="1" ht="20.25" customHeight="1">
      <c r="A811" s="139" t="s">
        <v>441</v>
      </c>
      <c r="B811" s="343" t="s">
        <v>32</v>
      </c>
      <c r="C811" s="107" t="s">
        <v>57</v>
      </c>
      <c r="D811" s="107" t="s">
        <v>442</v>
      </c>
      <c r="E811" s="107" t="s">
        <v>154</v>
      </c>
      <c r="F811" s="107" t="s">
        <v>155</v>
      </c>
      <c r="G811" s="107" t="s">
        <v>156</v>
      </c>
      <c r="H811" s="111"/>
      <c r="I811" s="37">
        <f aca="true" t="shared" si="105" ref="I811:M812">I812</f>
        <v>334</v>
      </c>
      <c r="J811" s="37">
        <f t="shared" si="105"/>
        <v>334</v>
      </c>
      <c r="K811" s="344">
        <f t="shared" si="100"/>
        <v>0</v>
      </c>
      <c r="L811" s="37">
        <f t="shared" si="105"/>
        <v>348</v>
      </c>
      <c r="M811" s="37">
        <f t="shared" si="105"/>
        <v>363</v>
      </c>
      <c r="N811" s="327"/>
      <c r="O811" s="327"/>
    </row>
    <row r="812" spans="1:13" s="355" customFormat="1" ht="18" customHeight="1">
      <c r="A812" s="136" t="s">
        <v>410</v>
      </c>
      <c r="B812" s="343" t="s">
        <v>32</v>
      </c>
      <c r="C812" s="107" t="s">
        <v>57</v>
      </c>
      <c r="D812" s="71" t="s">
        <v>442</v>
      </c>
      <c r="E812" s="71" t="s">
        <v>338</v>
      </c>
      <c r="F812" s="71" t="s">
        <v>155</v>
      </c>
      <c r="G812" s="71" t="s">
        <v>156</v>
      </c>
      <c r="H812" s="111"/>
      <c r="I812" s="37">
        <f t="shared" si="105"/>
        <v>334</v>
      </c>
      <c r="J812" s="37">
        <f t="shared" si="105"/>
        <v>334</v>
      </c>
      <c r="K812" s="344">
        <f t="shared" si="100"/>
        <v>0</v>
      </c>
      <c r="L812" s="37">
        <f t="shared" si="105"/>
        <v>348</v>
      </c>
      <c r="M812" s="37">
        <f t="shared" si="105"/>
        <v>363</v>
      </c>
    </row>
    <row r="813" spans="1:13" s="355" customFormat="1" ht="21" customHeight="1">
      <c r="A813" s="137" t="s">
        <v>410</v>
      </c>
      <c r="B813" s="343" t="s">
        <v>32</v>
      </c>
      <c r="C813" s="107" t="s">
        <v>57</v>
      </c>
      <c r="D813" s="107" t="s">
        <v>442</v>
      </c>
      <c r="E813" s="107" t="s">
        <v>338</v>
      </c>
      <c r="F813" s="107" t="s">
        <v>153</v>
      </c>
      <c r="G813" s="107" t="s">
        <v>156</v>
      </c>
      <c r="H813" s="105"/>
      <c r="I813" s="37">
        <f>I814+I816</f>
        <v>334</v>
      </c>
      <c r="J813" s="37">
        <f>J814+J816</f>
        <v>334</v>
      </c>
      <c r="K813" s="344">
        <f t="shared" si="100"/>
        <v>0</v>
      </c>
      <c r="L813" s="37">
        <f>L814+L816</f>
        <v>348</v>
      </c>
      <c r="M813" s="37">
        <f>M814+M816</f>
        <v>363</v>
      </c>
    </row>
    <row r="814" spans="1:13" s="355" customFormat="1" ht="21" customHeight="1">
      <c r="A814" s="123" t="s">
        <v>453</v>
      </c>
      <c r="B814" s="347" t="s">
        <v>32</v>
      </c>
      <c r="C814" s="112" t="s">
        <v>57</v>
      </c>
      <c r="D814" s="112" t="s">
        <v>442</v>
      </c>
      <c r="E814" s="112" t="s">
        <v>338</v>
      </c>
      <c r="F814" s="112" t="s">
        <v>153</v>
      </c>
      <c r="G814" s="112" t="s">
        <v>454</v>
      </c>
      <c r="H814" s="129"/>
      <c r="I814" s="78">
        <f>I815</f>
        <v>230</v>
      </c>
      <c r="J814" s="78">
        <f>J815</f>
        <v>230</v>
      </c>
      <c r="K814" s="348">
        <f t="shared" si="100"/>
        <v>0</v>
      </c>
      <c r="L814" s="78">
        <f>L815</f>
        <v>240</v>
      </c>
      <c r="M814" s="78">
        <f>M815</f>
        <v>250</v>
      </c>
    </row>
    <row r="815" spans="1:13" ht="20.25" customHeight="1">
      <c r="A815" s="123" t="s">
        <v>759</v>
      </c>
      <c r="B815" s="347" t="s">
        <v>32</v>
      </c>
      <c r="C815" s="112" t="s">
        <v>57</v>
      </c>
      <c r="D815" s="112" t="s">
        <v>442</v>
      </c>
      <c r="E815" s="112" t="s">
        <v>338</v>
      </c>
      <c r="F815" s="112" t="s">
        <v>153</v>
      </c>
      <c r="G815" s="112" t="s">
        <v>454</v>
      </c>
      <c r="H815" s="129">
        <v>800</v>
      </c>
      <c r="I815" s="78">
        <v>230</v>
      </c>
      <c r="J815" s="78">
        <v>230</v>
      </c>
      <c r="K815" s="348">
        <f t="shared" si="100"/>
        <v>0</v>
      </c>
      <c r="L815" s="78">
        <v>240</v>
      </c>
      <c r="M815" s="78">
        <v>250</v>
      </c>
    </row>
    <row r="816" spans="1:15" s="355" customFormat="1" ht="34.5" customHeight="1">
      <c r="A816" s="123" t="s">
        <v>459</v>
      </c>
      <c r="B816" s="347">
        <v>114</v>
      </c>
      <c r="C816" s="112" t="s">
        <v>57</v>
      </c>
      <c r="D816" s="112" t="s">
        <v>442</v>
      </c>
      <c r="E816" s="112" t="s">
        <v>338</v>
      </c>
      <c r="F816" s="112" t="s">
        <v>153</v>
      </c>
      <c r="G816" s="112" t="s">
        <v>460</v>
      </c>
      <c r="H816" s="129"/>
      <c r="I816" s="78">
        <f>I817+I818</f>
        <v>104</v>
      </c>
      <c r="J816" s="78">
        <f>J817+J818</f>
        <v>104</v>
      </c>
      <c r="K816" s="348">
        <f t="shared" si="100"/>
        <v>0</v>
      </c>
      <c r="L816" s="78">
        <f>L817+L818</f>
        <v>108</v>
      </c>
      <c r="M816" s="78">
        <f>M817+M818</f>
        <v>113</v>
      </c>
      <c r="N816" s="327"/>
      <c r="O816" s="327"/>
    </row>
    <row r="817" spans="1:13" ht="33.75" customHeight="1">
      <c r="A817" s="123" t="s">
        <v>758</v>
      </c>
      <c r="B817" s="347">
        <v>114</v>
      </c>
      <c r="C817" s="112" t="s">
        <v>57</v>
      </c>
      <c r="D817" s="112" t="s">
        <v>442</v>
      </c>
      <c r="E817" s="112" t="s">
        <v>338</v>
      </c>
      <c r="F817" s="112" t="s">
        <v>153</v>
      </c>
      <c r="G817" s="112" t="s">
        <v>460</v>
      </c>
      <c r="H817" s="129">
        <v>200</v>
      </c>
      <c r="I817" s="78">
        <v>104</v>
      </c>
      <c r="J817" s="78">
        <v>104</v>
      </c>
      <c r="K817" s="348">
        <f t="shared" si="100"/>
        <v>0</v>
      </c>
      <c r="L817" s="78">
        <v>108</v>
      </c>
      <c r="M817" s="78">
        <v>113</v>
      </c>
    </row>
    <row r="818" spans="1:13" ht="18.75" customHeight="1" hidden="1">
      <c r="A818" s="123" t="s">
        <v>762</v>
      </c>
      <c r="B818" s="347">
        <v>114</v>
      </c>
      <c r="C818" s="112" t="s">
        <v>57</v>
      </c>
      <c r="D818" s="112" t="s">
        <v>442</v>
      </c>
      <c r="E818" s="112" t="s">
        <v>338</v>
      </c>
      <c r="F818" s="112" t="s">
        <v>153</v>
      </c>
      <c r="G818" s="112" t="s">
        <v>460</v>
      </c>
      <c r="H818" s="129">
        <v>300</v>
      </c>
      <c r="I818" s="78"/>
      <c r="J818" s="331"/>
      <c r="K818" s="348">
        <f t="shared" si="100"/>
        <v>0</v>
      </c>
      <c r="L818" s="78"/>
      <c r="M818" s="78"/>
    </row>
    <row r="819" spans="1:13" ht="31.5" customHeight="1">
      <c r="A819" s="139" t="s">
        <v>1167</v>
      </c>
      <c r="B819" s="343" t="s">
        <v>33</v>
      </c>
      <c r="C819" s="107"/>
      <c r="D819" s="71"/>
      <c r="E819" s="71"/>
      <c r="F819" s="71"/>
      <c r="G819" s="71"/>
      <c r="H819" s="71"/>
      <c r="I819" s="37">
        <f>I820+I832</f>
        <v>8591.3</v>
      </c>
      <c r="J819" s="37">
        <f>J820+J832</f>
        <v>8591.3</v>
      </c>
      <c r="K819" s="344">
        <f t="shared" si="100"/>
        <v>0</v>
      </c>
      <c r="L819" s="37">
        <f>L820+L832</f>
        <v>8733</v>
      </c>
      <c r="M819" s="37">
        <f>M820+M832</f>
        <v>9144</v>
      </c>
    </row>
    <row r="820" spans="1:13" ht="20.25" customHeight="1">
      <c r="A820" s="139" t="s">
        <v>42</v>
      </c>
      <c r="B820" s="343" t="s">
        <v>33</v>
      </c>
      <c r="C820" s="107" t="s">
        <v>43</v>
      </c>
      <c r="D820" s="71"/>
      <c r="E820" s="71"/>
      <c r="F820" s="71"/>
      <c r="G820" s="71"/>
      <c r="H820" s="71"/>
      <c r="I820" s="37">
        <f>I821</f>
        <v>50</v>
      </c>
      <c r="J820" s="37">
        <f>J821</f>
        <v>50</v>
      </c>
      <c r="K820" s="344">
        <f t="shared" si="100"/>
        <v>0</v>
      </c>
      <c r="L820" s="37">
        <f>L821</f>
        <v>300</v>
      </c>
      <c r="M820" s="37">
        <f>M821</f>
        <v>300</v>
      </c>
    </row>
    <row r="821" spans="1:13" ht="18" customHeight="1">
      <c r="A821" s="139" t="s">
        <v>56</v>
      </c>
      <c r="B821" s="343" t="s">
        <v>33</v>
      </c>
      <c r="C821" s="107" t="s">
        <v>57</v>
      </c>
      <c r="D821" s="71"/>
      <c r="E821" s="71"/>
      <c r="F821" s="71"/>
      <c r="G821" s="71"/>
      <c r="H821" s="71"/>
      <c r="I821" s="37">
        <f>I822+I827</f>
        <v>50</v>
      </c>
      <c r="J821" s="37">
        <f>J822+J827</f>
        <v>50</v>
      </c>
      <c r="K821" s="344">
        <f t="shared" si="100"/>
        <v>0</v>
      </c>
      <c r="L821" s="37">
        <f>L822+L827</f>
        <v>300</v>
      </c>
      <c r="M821" s="37">
        <f>M822+M827</f>
        <v>300</v>
      </c>
    </row>
    <row r="822" spans="1:13" ht="53.25" customHeight="1" hidden="1">
      <c r="A822" s="122" t="s">
        <v>340</v>
      </c>
      <c r="B822" s="343" t="s">
        <v>33</v>
      </c>
      <c r="C822" s="107" t="s">
        <v>57</v>
      </c>
      <c r="D822" s="71" t="s">
        <v>309</v>
      </c>
      <c r="E822" s="71" t="s">
        <v>154</v>
      </c>
      <c r="F822" s="71" t="s">
        <v>155</v>
      </c>
      <c r="G822" s="71" t="s">
        <v>156</v>
      </c>
      <c r="H822" s="71"/>
      <c r="I822" s="37">
        <f aca="true" t="shared" si="106" ref="I822:M825">I823</f>
        <v>0</v>
      </c>
      <c r="J822" s="37">
        <f t="shared" si="106"/>
        <v>0</v>
      </c>
      <c r="K822" s="344">
        <f t="shared" si="100"/>
        <v>0</v>
      </c>
      <c r="L822" s="37">
        <f t="shared" si="106"/>
        <v>0</v>
      </c>
      <c r="M822" s="37">
        <f t="shared" si="106"/>
        <v>0</v>
      </c>
    </row>
    <row r="823" spans="1:13" ht="49.5" customHeight="1" hidden="1">
      <c r="A823" s="109" t="s">
        <v>912</v>
      </c>
      <c r="B823" s="343" t="s">
        <v>33</v>
      </c>
      <c r="C823" s="107" t="s">
        <v>57</v>
      </c>
      <c r="D823" s="71" t="s">
        <v>309</v>
      </c>
      <c r="E823" s="71" t="s">
        <v>139</v>
      </c>
      <c r="F823" s="71" t="s">
        <v>155</v>
      </c>
      <c r="G823" s="71" t="s">
        <v>156</v>
      </c>
      <c r="H823" s="71"/>
      <c r="I823" s="37">
        <f t="shared" si="106"/>
        <v>0</v>
      </c>
      <c r="J823" s="37">
        <f t="shared" si="106"/>
        <v>0</v>
      </c>
      <c r="K823" s="344">
        <f t="shared" si="100"/>
        <v>0</v>
      </c>
      <c r="L823" s="37">
        <f t="shared" si="106"/>
        <v>0</v>
      </c>
      <c r="M823" s="37">
        <f t="shared" si="106"/>
        <v>0</v>
      </c>
    </row>
    <row r="824" spans="1:13" s="355" customFormat="1" ht="33.75" customHeight="1" hidden="1">
      <c r="A824" s="136" t="s">
        <v>913</v>
      </c>
      <c r="B824" s="343" t="s">
        <v>33</v>
      </c>
      <c r="C824" s="107" t="s">
        <v>57</v>
      </c>
      <c r="D824" s="71" t="s">
        <v>309</v>
      </c>
      <c r="E824" s="71" t="s">
        <v>139</v>
      </c>
      <c r="F824" s="71" t="s">
        <v>153</v>
      </c>
      <c r="G824" s="71" t="s">
        <v>156</v>
      </c>
      <c r="H824" s="71"/>
      <c r="I824" s="37">
        <f t="shared" si="106"/>
        <v>0</v>
      </c>
      <c r="J824" s="37">
        <f t="shared" si="106"/>
        <v>0</v>
      </c>
      <c r="K824" s="344">
        <f t="shared" si="100"/>
        <v>0</v>
      </c>
      <c r="L824" s="37">
        <f t="shared" si="106"/>
        <v>0</v>
      </c>
      <c r="M824" s="37">
        <f t="shared" si="106"/>
        <v>0</v>
      </c>
    </row>
    <row r="825" spans="1:13" ht="33.75" customHeight="1" hidden="1">
      <c r="A825" s="127" t="s">
        <v>914</v>
      </c>
      <c r="B825" s="347" t="s">
        <v>33</v>
      </c>
      <c r="C825" s="112" t="s">
        <v>57</v>
      </c>
      <c r="D825" s="111" t="s">
        <v>309</v>
      </c>
      <c r="E825" s="111" t="s">
        <v>139</v>
      </c>
      <c r="F825" s="111" t="s">
        <v>153</v>
      </c>
      <c r="G825" s="111" t="s">
        <v>351</v>
      </c>
      <c r="H825" s="111"/>
      <c r="I825" s="78">
        <f t="shared" si="106"/>
        <v>0</v>
      </c>
      <c r="J825" s="78">
        <f t="shared" si="106"/>
        <v>0</v>
      </c>
      <c r="K825" s="348">
        <f t="shared" si="100"/>
        <v>0</v>
      </c>
      <c r="L825" s="78">
        <f t="shared" si="106"/>
        <v>0</v>
      </c>
      <c r="M825" s="78">
        <f t="shared" si="106"/>
        <v>0</v>
      </c>
    </row>
    <row r="826" spans="1:13" ht="30.75" customHeight="1" hidden="1">
      <c r="A826" s="123" t="s">
        <v>758</v>
      </c>
      <c r="B826" s="347" t="s">
        <v>33</v>
      </c>
      <c r="C826" s="112" t="s">
        <v>57</v>
      </c>
      <c r="D826" s="111" t="s">
        <v>309</v>
      </c>
      <c r="E826" s="111" t="s">
        <v>139</v>
      </c>
      <c r="F826" s="111" t="s">
        <v>153</v>
      </c>
      <c r="G826" s="111" t="s">
        <v>351</v>
      </c>
      <c r="H826" s="111" t="s">
        <v>757</v>
      </c>
      <c r="I826" s="78"/>
      <c r="J826" s="78"/>
      <c r="K826" s="348">
        <f t="shared" si="100"/>
        <v>0</v>
      </c>
      <c r="L826" s="78"/>
      <c r="M826" s="78"/>
    </row>
    <row r="827" spans="1:13" ht="48.75" customHeight="1">
      <c r="A827" s="139" t="s">
        <v>386</v>
      </c>
      <c r="B827" s="343">
        <v>115</v>
      </c>
      <c r="C827" s="107" t="s">
        <v>57</v>
      </c>
      <c r="D827" s="71" t="s">
        <v>354</v>
      </c>
      <c r="E827" s="71" t="s">
        <v>154</v>
      </c>
      <c r="F827" s="71" t="s">
        <v>155</v>
      </c>
      <c r="G827" s="71" t="s">
        <v>156</v>
      </c>
      <c r="H827" s="71"/>
      <c r="I827" s="37">
        <f aca="true" t="shared" si="107" ref="I827:M830">I828</f>
        <v>50</v>
      </c>
      <c r="J827" s="37">
        <f t="shared" si="107"/>
        <v>50</v>
      </c>
      <c r="K827" s="344">
        <f t="shared" si="100"/>
        <v>0</v>
      </c>
      <c r="L827" s="37">
        <f t="shared" si="107"/>
        <v>300</v>
      </c>
      <c r="M827" s="37">
        <f t="shared" si="107"/>
        <v>300</v>
      </c>
    </row>
    <row r="828" spans="1:13" ht="20.25" customHeight="1">
      <c r="A828" s="136" t="s">
        <v>388</v>
      </c>
      <c r="B828" s="343">
        <v>115</v>
      </c>
      <c r="C828" s="107" t="s">
        <v>57</v>
      </c>
      <c r="D828" s="71" t="s">
        <v>354</v>
      </c>
      <c r="E828" s="71" t="s">
        <v>136</v>
      </c>
      <c r="F828" s="71" t="s">
        <v>155</v>
      </c>
      <c r="G828" s="71" t="s">
        <v>156</v>
      </c>
      <c r="H828" s="71"/>
      <c r="I828" s="37">
        <f t="shared" si="107"/>
        <v>50</v>
      </c>
      <c r="J828" s="37">
        <f t="shared" si="107"/>
        <v>50</v>
      </c>
      <c r="K828" s="344">
        <f t="shared" si="100"/>
        <v>0</v>
      </c>
      <c r="L828" s="37">
        <f t="shared" si="107"/>
        <v>300</v>
      </c>
      <c r="M828" s="37">
        <f t="shared" si="107"/>
        <v>300</v>
      </c>
    </row>
    <row r="829" spans="1:13" s="355" customFormat="1" ht="51" customHeight="1">
      <c r="A829" s="137" t="s">
        <v>389</v>
      </c>
      <c r="B829" s="343" t="s">
        <v>33</v>
      </c>
      <c r="C829" s="107" t="s">
        <v>57</v>
      </c>
      <c r="D829" s="71" t="s">
        <v>354</v>
      </c>
      <c r="E829" s="71" t="s">
        <v>136</v>
      </c>
      <c r="F829" s="71" t="s">
        <v>153</v>
      </c>
      <c r="G829" s="71" t="s">
        <v>156</v>
      </c>
      <c r="H829" s="71"/>
      <c r="I829" s="37">
        <f t="shared" si="107"/>
        <v>50</v>
      </c>
      <c r="J829" s="37">
        <f t="shared" si="107"/>
        <v>50</v>
      </c>
      <c r="K829" s="344">
        <f t="shared" si="100"/>
        <v>0</v>
      </c>
      <c r="L829" s="37">
        <f t="shared" si="107"/>
        <v>300</v>
      </c>
      <c r="M829" s="37">
        <f t="shared" si="107"/>
        <v>300</v>
      </c>
    </row>
    <row r="830" spans="1:13" ht="75.75" customHeight="1">
      <c r="A830" s="127" t="s">
        <v>390</v>
      </c>
      <c r="B830" s="347">
        <v>115</v>
      </c>
      <c r="C830" s="112" t="s">
        <v>57</v>
      </c>
      <c r="D830" s="111" t="s">
        <v>354</v>
      </c>
      <c r="E830" s="111" t="s">
        <v>136</v>
      </c>
      <c r="F830" s="111" t="s">
        <v>153</v>
      </c>
      <c r="G830" s="111" t="s">
        <v>391</v>
      </c>
      <c r="H830" s="111"/>
      <c r="I830" s="78">
        <f t="shared" si="107"/>
        <v>50</v>
      </c>
      <c r="J830" s="78">
        <f t="shared" si="107"/>
        <v>50</v>
      </c>
      <c r="K830" s="348">
        <f t="shared" si="100"/>
        <v>0</v>
      </c>
      <c r="L830" s="78">
        <f t="shared" si="107"/>
        <v>300</v>
      </c>
      <c r="M830" s="78">
        <f t="shared" si="107"/>
        <v>300</v>
      </c>
    </row>
    <row r="831" spans="1:13" ht="33" customHeight="1">
      <c r="A831" s="123" t="s">
        <v>758</v>
      </c>
      <c r="B831" s="347">
        <v>115</v>
      </c>
      <c r="C831" s="112" t="s">
        <v>57</v>
      </c>
      <c r="D831" s="111" t="s">
        <v>354</v>
      </c>
      <c r="E831" s="111" t="s">
        <v>136</v>
      </c>
      <c r="F831" s="111" t="s">
        <v>153</v>
      </c>
      <c r="G831" s="111" t="s">
        <v>391</v>
      </c>
      <c r="H831" s="111" t="s">
        <v>757</v>
      </c>
      <c r="I831" s="78">
        <f>400-350</f>
        <v>50</v>
      </c>
      <c r="J831" s="78">
        <f>400-350</f>
        <v>50</v>
      </c>
      <c r="K831" s="348">
        <f t="shared" si="100"/>
        <v>0</v>
      </c>
      <c r="L831" s="78">
        <v>300</v>
      </c>
      <c r="M831" s="78">
        <v>300</v>
      </c>
    </row>
    <row r="832" spans="1:13" ht="18.75" customHeight="1">
      <c r="A832" s="165" t="s">
        <v>88</v>
      </c>
      <c r="B832" s="343" t="s">
        <v>33</v>
      </c>
      <c r="C832" s="107" t="s">
        <v>89</v>
      </c>
      <c r="D832" s="71"/>
      <c r="E832" s="71"/>
      <c r="F832" s="71"/>
      <c r="G832" s="71"/>
      <c r="H832" s="71"/>
      <c r="I832" s="37">
        <f>I833</f>
        <v>8541.3</v>
      </c>
      <c r="J832" s="37">
        <f>J833</f>
        <v>8541.3</v>
      </c>
      <c r="K832" s="344">
        <f t="shared" si="100"/>
        <v>0</v>
      </c>
      <c r="L832" s="37">
        <f>L833</f>
        <v>8433</v>
      </c>
      <c r="M832" s="37">
        <f>M833</f>
        <v>8844</v>
      </c>
    </row>
    <row r="833" spans="1:13" ht="21" customHeight="1">
      <c r="A833" s="139" t="s">
        <v>100</v>
      </c>
      <c r="B833" s="343" t="s">
        <v>33</v>
      </c>
      <c r="C833" s="107" t="s">
        <v>101</v>
      </c>
      <c r="D833" s="71"/>
      <c r="E833" s="71"/>
      <c r="F833" s="71"/>
      <c r="G833" s="71"/>
      <c r="H833" s="71"/>
      <c r="I833" s="37">
        <f>I834+I845+I850</f>
        <v>8541.3</v>
      </c>
      <c r="J833" s="37">
        <f>J834+J845+J850</f>
        <v>8541.3</v>
      </c>
      <c r="K833" s="344">
        <f t="shared" si="100"/>
        <v>0</v>
      </c>
      <c r="L833" s="37">
        <f>L834+L845+L850</f>
        <v>8433</v>
      </c>
      <c r="M833" s="37">
        <f>M834+M845+M850</f>
        <v>8844</v>
      </c>
    </row>
    <row r="834" spans="1:13" ht="34.5" customHeight="1">
      <c r="A834" s="139" t="s">
        <v>231</v>
      </c>
      <c r="B834" s="343" t="s">
        <v>33</v>
      </c>
      <c r="C834" s="107" t="s">
        <v>101</v>
      </c>
      <c r="D834" s="71" t="s">
        <v>232</v>
      </c>
      <c r="E834" s="71" t="s">
        <v>154</v>
      </c>
      <c r="F834" s="71" t="s">
        <v>155</v>
      </c>
      <c r="G834" s="71" t="s">
        <v>156</v>
      </c>
      <c r="H834" s="71"/>
      <c r="I834" s="37">
        <f>I835+I840</f>
        <v>1874</v>
      </c>
      <c r="J834" s="37">
        <f>J835+J840</f>
        <v>1874</v>
      </c>
      <c r="K834" s="344">
        <f t="shared" si="100"/>
        <v>0</v>
      </c>
      <c r="L834" s="37">
        <f>L835+L840</f>
        <v>1874</v>
      </c>
      <c r="M834" s="37">
        <f>M835+M840</f>
        <v>1874</v>
      </c>
    </row>
    <row r="835" spans="1:15" ht="33.75" customHeight="1">
      <c r="A835" s="136" t="s">
        <v>143</v>
      </c>
      <c r="B835" s="343" t="s">
        <v>33</v>
      </c>
      <c r="C835" s="107" t="s">
        <v>101</v>
      </c>
      <c r="D835" s="71" t="s">
        <v>232</v>
      </c>
      <c r="E835" s="71" t="s">
        <v>136</v>
      </c>
      <c r="F835" s="71" t="s">
        <v>155</v>
      </c>
      <c r="G835" s="71" t="s">
        <v>156</v>
      </c>
      <c r="H835" s="71"/>
      <c r="I835" s="37">
        <f aca="true" t="shared" si="108" ref="I835:M836">I836</f>
        <v>874.8</v>
      </c>
      <c r="J835" s="37">
        <f t="shared" si="108"/>
        <v>874.8</v>
      </c>
      <c r="K835" s="344">
        <f t="shared" si="100"/>
        <v>0</v>
      </c>
      <c r="L835" s="37">
        <f t="shared" si="108"/>
        <v>874.8</v>
      </c>
      <c r="M835" s="37">
        <f t="shared" si="108"/>
        <v>874.8</v>
      </c>
      <c r="N835" s="194"/>
      <c r="O835" s="194"/>
    </row>
    <row r="836" spans="1:15" s="355" customFormat="1" ht="32.25" customHeight="1">
      <c r="A836" s="137" t="s">
        <v>239</v>
      </c>
      <c r="B836" s="343" t="s">
        <v>33</v>
      </c>
      <c r="C836" s="107" t="s">
        <v>101</v>
      </c>
      <c r="D836" s="107" t="s">
        <v>232</v>
      </c>
      <c r="E836" s="107" t="s">
        <v>136</v>
      </c>
      <c r="F836" s="107" t="s">
        <v>153</v>
      </c>
      <c r="G836" s="107" t="s">
        <v>156</v>
      </c>
      <c r="H836" s="71"/>
      <c r="I836" s="37">
        <f t="shared" si="108"/>
        <v>874.8</v>
      </c>
      <c r="J836" s="37">
        <f t="shared" si="108"/>
        <v>874.8</v>
      </c>
      <c r="K836" s="344">
        <f t="shared" si="100"/>
        <v>0</v>
      </c>
      <c r="L836" s="37">
        <f t="shared" si="108"/>
        <v>874.8</v>
      </c>
      <c r="M836" s="37">
        <f t="shared" si="108"/>
        <v>874.8</v>
      </c>
      <c r="N836" s="350"/>
      <c r="O836" s="350"/>
    </row>
    <row r="837" spans="1:13" s="194" customFormat="1" ht="46.5" customHeight="1">
      <c r="A837" s="123" t="s">
        <v>241</v>
      </c>
      <c r="B837" s="347" t="s">
        <v>33</v>
      </c>
      <c r="C837" s="112" t="s">
        <v>101</v>
      </c>
      <c r="D837" s="112" t="s">
        <v>232</v>
      </c>
      <c r="E837" s="112" t="s">
        <v>136</v>
      </c>
      <c r="F837" s="112" t="s">
        <v>153</v>
      </c>
      <c r="G837" s="112" t="s">
        <v>242</v>
      </c>
      <c r="H837" s="111" t="s">
        <v>236</v>
      </c>
      <c r="I837" s="78">
        <f>I838+I839</f>
        <v>874.8</v>
      </c>
      <c r="J837" s="78">
        <f>J838+J839</f>
        <v>874.8</v>
      </c>
      <c r="K837" s="348">
        <f t="shared" si="100"/>
        <v>0</v>
      </c>
      <c r="L837" s="78">
        <f>L838+L839</f>
        <v>874.8</v>
      </c>
      <c r="M837" s="78">
        <f>M838+M839</f>
        <v>874.8</v>
      </c>
    </row>
    <row r="838" spans="1:13" s="194" customFormat="1" ht="63.75" customHeight="1">
      <c r="A838" s="123" t="s">
        <v>755</v>
      </c>
      <c r="B838" s="347" t="s">
        <v>33</v>
      </c>
      <c r="C838" s="112" t="s">
        <v>101</v>
      </c>
      <c r="D838" s="112" t="s">
        <v>232</v>
      </c>
      <c r="E838" s="112" t="s">
        <v>136</v>
      </c>
      <c r="F838" s="112" t="s">
        <v>153</v>
      </c>
      <c r="G838" s="112" t="s">
        <v>242</v>
      </c>
      <c r="H838" s="111" t="s">
        <v>756</v>
      </c>
      <c r="I838" s="78">
        <v>729</v>
      </c>
      <c r="J838" s="78">
        <v>729</v>
      </c>
      <c r="K838" s="348">
        <f t="shared" si="100"/>
        <v>0</v>
      </c>
      <c r="L838" s="78">
        <v>729</v>
      </c>
      <c r="M838" s="78">
        <v>729</v>
      </c>
    </row>
    <row r="839" spans="1:13" s="194" customFormat="1" ht="34.5" customHeight="1">
      <c r="A839" s="123" t="s">
        <v>758</v>
      </c>
      <c r="B839" s="347" t="s">
        <v>33</v>
      </c>
      <c r="C839" s="112" t="s">
        <v>101</v>
      </c>
      <c r="D839" s="112" t="s">
        <v>232</v>
      </c>
      <c r="E839" s="112" t="s">
        <v>136</v>
      </c>
      <c r="F839" s="112" t="s">
        <v>153</v>
      </c>
      <c r="G839" s="112" t="s">
        <v>242</v>
      </c>
      <c r="H839" s="111" t="s">
        <v>757</v>
      </c>
      <c r="I839" s="78">
        <v>145.8</v>
      </c>
      <c r="J839" s="78">
        <v>145.8</v>
      </c>
      <c r="K839" s="348">
        <f t="shared" si="100"/>
        <v>0</v>
      </c>
      <c r="L839" s="78">
        <v>145.8</v>
      </c>
      <c r="M839" s="78">
        <v>145.8</v>
      </c>
    </row>
    <row r="840" spans="1:13" s="350" customFormat="1" ht="48" customHeight="1">
      <c r="A840" s="136" t="s">
        <v>248</v>
      </c>
      <c r="B840" s="343" t="s">
        <v>33</v>
      </c>
      <c r="C840" s="107" t="s">
        <v>101</v>
      </c>
      <c r="D840" s="71" t="s">
        <v>232</v>
      </c>
      <c r="E840" s="71" t="s">
        <v>137</v>
      </c>
      <c r="F840" s="71" t="s">
        <v>155</v>
      </c>
      <c r="G840" s="71" t="s">
        <v>156</v>
      </c>
      <c r="H840" s="71"/>
      <c r="I840" s="37">
        <f aca="true" t="shared" si="109" ref="I840:M841">I841</f>
        <v>999.2</v>
      </c>
      <c r="J840" s="37">
        <f t="shared" si="109"/>
        <v>999.2</v>
      </c>
      <c r="K840" s="344">
        <f t="shared" si="100"/>
        <v>0</v>
      </c>
      <c r="L840" s="37">
        <f t="shared" si="109"/>
        <v>999.2</v>
      </c>
      <c r="M840" s="37">
        <f t="shared" si="109"/>
        <v>999.2</v>
      </c>
    </row>
    <row r="841" spans="1:13" s="350" customFormat="1" ht="33.75" customHeight="1">
      <c r="A841" s="137" t="s">
        <v>249</v>
      </c>
      <c r="B841" s="343" t="s">
        <v>33</v>
      </c>
      <c r="C841" s="107" t="s">
        <v>101</v>
      </c>
      <c r="D841" s="107" t="s">
        <v>232</v>
      </c>
      <c r="E841" s="107" t="s">
        <v>137</v>
      </c>
      <c r="F841" s="71" t="s">
        <v>153</v>
      </c>
      <c r="G841" s="71" t="s">
        <v>156</v>
      </c>
      <c r="H841" s="71"/>
      <c r="I841" s="37">
        <f t="shared" si="109"/>
        <v>999.2</v>
      </c>
      <c r="J841" s="37">
        <f t="shared" si="109"/>
        <v>999.2</v>
      </c>
      <c r="K841" s="344">
        <f t="shared" si="100"/>
        <v>0</v>
      </c>
      <c r="L841" s="37">
        <f t="shared" si="109"/>
        <v>999.2</v>
      </c>
      <c r="M841" s="37">
        <f t="shared" si="109"/>
        <v>999.2</v>
      </c>
    </row>
    <row r="842" spans="1:15" s="194" customFormat="1" ht="114" customHeight="1">
      <c r="A842" s="123" t="s">
        <v>260</v>
      </c>
      <c r="B842" s="347" t="s">
        <v>33</v>
      </c>
      <c r="C842" s="112" t="s">
        <v>101</v>
      </c>
      <c r="D842" s="112" t="s">
        <v>232</v>
      </c>
      <c r="E842" s="112" t="s">
        <v>137</v>
      </c>
      <c r="F842" s="111" t="s">
        <v>153</v>
      </c>
      <c r="G842" s="112" t="s">
        <v>261</v>
      </c>
      <c r="H842" s="111"/>
      <c r="I842" s="78">
        <f>I843+I844</f>
        <v>999.2</v>
      </c>
      <c r="J842" s="78">
        <f>J843+J844</f>
        <v>999.2</v>
      </c>
      <c r="K842" s="348">
        <f t="shared" si="100"/>
        <v>0</v>
      </c>
      <c r="L842" s="78">
        <f>L843+L844</f>
        <v>999.2</v>
      </c>
      <c r="M842" s="78">
        <f>M843+M844</f>
        <v>999.2</v>
      </c>
      <c r="N842" s="350"/>
      <c r="O842" s="350"/>
    </row>
    <row r="843" spans="1:15" s="350" customFormat="1" ht="65.25" customHeight="1">
      <c r="A843" s="123" t="s">
        <v>755</v>
      </c>
      <c r="B843" s="347" t="s">
        <v>33</v>
      </c>
      <c r="C843" s="112" t="s">
        <v>101</v>
      </c>
      <c r="D843" s="112" t="s">
        <v>232</v>
      </c>
      <c r="E843" s="112" t="s">
        <v>137</v>
      </c>
      <c r="F843" s="111" t="s">
        <v>153</v>
      </c>
      <c r="G843" s="112" t="s">
        <v>261</v>
      </c>
      <c r="H843" s="111" t="s">
        <v>756</v>
      </c>
      <c r="I843" s="78">
        <v>832.7</v>
      </c>
      <c r="J843" s="78">
        <v>832.7</v>
      </c>
      <c r="K843" s="348">
        <f t="shared" si="100"/>
        <v>0</v>
      </c>
      <c r="L843" s="78">
        <v>832.7</v>
      </c>
      <c r="M843" s="78">
        <v>832.7</v>
      </c>
      <c r="N843" s="194"/>
      <c r="O843" s="194"/>
    </row>
    <row r="844" spans="1:15" s="350" customFormat="1" ht="33.75" customHeight="1">
      <c r="A844" s="123" t="s">
        <v>758</v>
      </c>
      <c r="B844" s="347" t="s">
        <v>33</v>
      </c>
      <c r="C844" s="112" t="s">
        <v>101</v>
      </c>
      <c r="D844" s="112" t="s">
        <v>232</v>
      </c>
      <c r="E844" s="112" t="s">
        <v>137</v>
      </c>
      <c r="F844" s="111" t="s">
        <v>153</v>
      </c>
      <c r="G844" s="112" t="s">
        <v>261</v>
      </c>
      <c r="H844" s="111" t="s">
        <v>757</v>
      </c>
      <c r="I844" s="78">
        <v>166.5</v>
      </c>
      <c r="J844" s="78">
        <v>166.5</v>
      </c>
      <c r="K844" s="348">
        <f t="shared" si="100"/>
        <v>0</v>
      </c>
      <c r="L844" s="78">
        <v>166.5</v>
      </c>
      <c r="M844" s="78">
        <v>166.5</v>
      </c>
      <c r="N844" s="194"/>
      <c r="O844" s="194"/>
    </row>
    <row r="845" spans="1:13" s="194" customFormat="1" ht="52.5" customHeight="1">
      <c r="A845" s="122" t="s">
        <v>340</v>
      </c>
      <c r="B845" s="343" t="s">
        <v>33</v>
      </c>
      <c r="C845" s="107" t="s">
        <v>101</v>
      </c>
      <c r="D845" s="71" t="s">
        <v>309</v>
      </c>
      <c r="E845" s="71" t="s">
        <v>154</v>
      </c>
      <c r="F845" s="71" t="s">
        <v>155</v>
      </c>
      <c r="G845" s="71" t="s">
        <v>156</v>
      </c>
      <c r="H845" s="71"/>
      <c r="I845" s="37">
        <f aca="true" t="shared" si="110" ref="I845:M848">I846</f>
        <v>100</v>
      </c>
      <c r="J845" s="37">
        <f t="shared" si="110"/>
        <v>100</v>
      </c>
      <c r="K845" s="344">
        <f t="shared" si="100"/>
        <v>0</v>
      </c>
      <c r="L845" s="37">
        <f t="shared" si="110"/>
        <v>100</v>
      </c>
      <c r="M845" s="37">
        <f t="shared" si="110"/>
        <v>100</v>
      </c>
    </row>
    <row r="846" spans="1:15" s="194" customFormat="1" ht="39" customHeight="1">
      <c r="A846" s="109" t="s">
        <v>912</v>
      </c>
      <c r="B846" s="343" t="s">
        <v>33</v>
      </c>
      <c r="C846" s="107" t="s">
        <v>101</v>
      </c>
      <c r="D846" s="71" t="s">
        <v>309</v>
      </c>
      <c r="E846" s="71" t="s">
        <v>139</v>
      </c>
      <c r="F846" s="71" t="s">
        <v>155</v>
      </c>
      <c r="G846" s="71" t="s">
        <v>156</v>
      </c>
      <c r="H846" s="71"/>
      <c r="I846" s="37">
        <f t="shared" si="110"/>
        <v>100</v>
      </c>
      <c r="J846" s="37">
        <f t="shared" si="110"/>
        <v>100</v>
      </c>
      <c r="K846" s="344">
        <f t="shared" si="100"/>
        <v>0</v>
      </c>
      <c r="L846" s="37">
        <f t="shared" si="110"/>
        <v>100</v>
      </c>
      <c r="M846" s="37">
        <f t="shared" si="110"/>
        <v>100</v>
      </c>
      <c r="N846" s="350"/>
      <c r="O846" s="350"/>
    </row>
    <row r="847" spans="1:13" s="350" customFormat="1" ht="33.75" customHeight="1">
      <c r="A847" s="136" t="s">
        <v>913</v>
      </c>
      <c r="B847" s="343" t="s">
        <v>33</v>
      </c>
      <c r="C847" s="107" t="s">
        <v>101</v>
      </c>
      <c r="D847" s="71" t="s">
        <v>309</v>
      </c>
      <c r="E847" s="71" t="s">
        <v>139</v>
      </c>
      <c r="F847" s="71" t="s">
        <v>153</v>
      </c>
      <c r="G847" s="71" t="s">
        <v>156</v>
      </c>
      <c r="H847" s="71"/>
      <c r="I847" s="37">
        <f t="shared" si="110"/>
        <v>100</v>
      </c>
      <c r="J847" s="37">
        <f t="shared" si="110"/>
        <v>100</v>
      </c>
      <c r="K847" s="344">
        <f t="shared" si="100"/>
        <v>0</v>
      </c>
      <c r="L847" s="37">
        <f t="shared" si="110"/>
        <v>100</v>
      </c>
      <c r="M847" s="37">
        <f t="shared" si="110"/>
        <v>100</v>
      </c>
    </row>
    <row r="848" spans="1:15" s="350" customFormat="1" ht="35.25" customHeight="1">
      <c r="A848" s="127" t="s">
        <v>352</v>
      </c>
      <c r="B848" s="347" t="s">
        <v>33</v>
      </c>
      <c r="C848" s="112" t="s">
        <v>101</v>
      </c>
      <c r="D848" s="111" t="s">
        <v>309</v>
      </c>
      <c r="E848" s="111" t="s">
        <v>139</v>
      </c>
      <c r="F848" s="111" t="s">
        <v>153</v>
      </c>
      <c r="G848" s="111" t="s">
        <v>353</v>
      </c>
      <c r="H848" s="111"/>
      <c r="I848" s="78">
        <f t="shared" si="110"/>
        <v>100</v>
      </c>
      <c r="J848" s="78">
        <f t="shared" si="110"/>
        <v>100</v>
      </c>
      <c r="K848" s="348">
        <f t="shared" si="100"/>
        <v>0</v>
      </c>
      <c r="L848" s="78">
        <f t="shared" si="110"/>
        <v>100</v>
      </c>
      <c r="M848" s="78">
        <f t="shared" si="110"/>
        <v>100</v>
      </c>
      <c r="N848" s="194"/>
      <c r="O848" s="194"/>
    </row>
    <row r="849" spans="1:13" s="194" customFormat="1" ht="35.25" customHeight="1">
      <c r="A849" s="123" t="s">
        <v>758</v>
      </c>
      <c r="B849" s="347" t="s">
        <v>33</v>
      </c>
      <c r="C849" s="112" t="s">
        <v>101</v>
      </c>
      <c r="D849" s="111" t="s">
        <v>309</v>
      </c>
      <c r="E849" s="111" t="s">
        <v>139</v>
      </c>
      <c r="F849" s="111" t="s">
        <v>153</v>
      </c>
      <c r="G849" s="111" t="s">
        <v>353</v>
      </c>
      <c r="H849" s="111" t="s">
        <v>757</v>
      </c>
      <c r="I849" s="78">
        <f>45+55</f>
        <v>100</v>
      </c>
      <c r="J849" s="78">
        <f>45+55</f>
        <v>100</v>
      </c>
      <c r="K849" s="348">
        <f t="shared" si="100"/>
        <v>0</v>
      </c>
      <c r="L849" s="78">
        <v>100</v>
      </c>
      <c r="M849" s="78">
        <v>100</v>
      </c>
    </row>
    <row r="850" spans="1:13" s="194" customFormat="1" ht="33" customHeight="1">
      <c r="A850" s="139" t="s">
        <v>407</v>
      </c>
      <c r="B850" s="343" t="s">
        <v>33</v>
      </c>
      <c r="C850" s="107" t="s">
        <v>101</v>
      </c>
      <c r="D850" s="107" t="s">
        <v>408</v>
      </c>
      <c r="E850" s="107" t="s">
        <v>154</v>
      </c>
      <c r="F850" s="107" t="s">
        <v>155</v>
      </c>
      <c r="G850" s="107" t="s">
        <v>156</v>
      </c>
      <c r="H850" s="105"/>
      <c r="I850" s="37">
        <f aca="true" t="shared" si="111" ref="I850:M851">I851</f>
        <v>6567.3</v>
      </c>
      <c r="J850" s="37">
        <f t="shared" si="111"/>
        <v>6567.3</v>
      </c>
      <c r="K850" s="344">
        <f t="shared" si="100"/>
        <v>0</v>
      </c>
      <c r="L850" s="37">
        <f t="shared" si="111"/>
        <v>6459</v>
      </c>
      <c r="M850" s="37">
        <f t="shared" si="111"/>
        <v>6870</v>
      </c>
    </row>
    <row r="851" spans="1:13" s="194" customFormat="1" ht="33" customHeight="1">
      <c r="A851" s="136" t="s">
        <v>508</v>
      </c>
      <c r="B851" s="343" t="s">
        <v>33</v>
      </c>
      <c r="C851" s="107" t="s">
        <v>101</v>
      </c>
      <c r="D851" s="71" t="s">
        <v>408</v>
      </c>
      <c r="E851" s="71" t="s">
        <v>139</v>
      </c>
      <c r="F851" s="71" t="s">
        <v>155</v>
      </c>
      <c r="G851" s="71" t="s">
        <v>156</v>
      </c>
      <c r="H851" s="71"/>
      <c r="I851" s="37">
        <f t="shared" si="111"/>
        <v>6567.3</v>
      </c>
      <c r="J851" s="37">
        <f t="shared" si="111"/>
        <v>6567.3</v>
      </c>
      <c r="K851" s="344">
        <f t="shared" si="100"/>
        <v>0</v>
      </c>
      <c r="L851" s="37">
        <f t="shared" si="111"/>
        <v>6459</v>
      </c>
      <c r="M851" s="37">
        <f t="shared" si="111"/>
        <v>6870</v>
      </c>
    </row>
    <row r="852" spans="1:15" s="350" customFormat="1" ht="17.25" customHeight="1">
      <c r="A852" s="137" t="s">
        <v>410</v>
      </c>
      <c r="B852" s="343" t="s">
        <v>33</v>
      </c>
      <c r="C852" s="107" t="s">
        <v>101</v>
      </c>
      <c r="D852" s="107" t="s">
        <v>408</v>
      </c>
      <c r="E852" s="107" t="s">
        <v>139</v>
      </c>
      <c r="F852" s="107" t="s">
        <v>153</v>
      </c>
      <c r="G852" s="107" t="s">
        <v>156</v>
      </c>
      <c r="H852" s="105"/>
      <c r="I852" s="37">
        <f>I853+I857</f>
        <v>6567.3</v>
      </c>
      <c r="J852" s="37">
        <f>J853+J857</f>
        <v>6567.3</v>
      </c>
      <c r="K852" s="344">
        <f t="shared" si="100"/>
        <v>0</v>
      </c>
      <c r="L852" s="37">
        <f>L853+L857</f>
        <v>6459</v>
      </c>
      <c r="M852" s="37">
        <f>M853+M857</f>
        <v>6870</v>
      </c>
      <c r="N852" s="345"/>
      <c r="O852" s="345"/>
    </row>
    <row r="853" spans="1:15" s="194" customFormat="1" ht="20.25" customHeight="1">
      <c r="A853" s="123" t="s">
        <v>411</v>
      </c>
      <c r="B853" s="347" t="s">
        <v>33</v>
      </c>
      <c r="C853" s="112" t="s">
        <v>101</v>
      </c>
      <c r="D853" s="112" t="s">
        <v>408</v>
      </c>
      <c r="E853" s="112" t="s">
        <v>139</v>
      </c>
      <c r="F853" s="112" t="s">
        <v>153</v>
      </c>
      <c r="G853" s="112" t="s">
        <v>412</v>
      </c>
      <c r="H853" s="129"/>
      <c r="I853" s="78">
        <f>I854+I855+I856</f>
        <v>6541</v>
      </c>
      <c r="J853" s="78">
        <f>J854+J855+J856</f>
        <v>6541</v>
      </c>
      <c r="K853" s="348">
        <f t="shared" si="100"/>
        <v>0</v>
      </c>
      <c r="L853" s="78">
        <f>L854+L855+L856</f>
        <v>6459</v>
      </c>
      <c r="M853" s="78">
        <f>M854+M855+M856</f>
        <v>6870</v>
      </c>
      <c r="N853" s="345"/>
      <c r="O853" s="345"/>
    </row>
    <row r="854" spans="1:13" s="345" customFormat="1" ht="63.75" customHeight="1">
      <c r="A854" s="123" t="s">
        <v>755</v>
      </c>
      <c r="B854" s="347" t="s">
        <v>33</v>
      </c>
      <c r="C854" s="112" t="s">
        <v>101</v>
      </c>
      <c r="D854" s="112" t="s">
        <v>408</v>
      </c>
      <c r="E854" s="112" t="s">
        <v>139</v>
      </c>
      <c r="F854" s="112" t="s">
        <v>153</v>
      </c>
      <c r="G854" s="112" t="s">
        <v>412</v>
      </c>
      <c r="H854" s="129">
        <v>100</v>
      </c>
      <c r="I854" s="78">
        <v>6334</v>
      </c>
      <c r="J854" s="78">
        <v>6334</v>
      </c>
      <c r="K854" s="348">
        <f t="shared" si="100"/>
        <v>0</v>
      </c>
      <c r="L854" s="78">
        <v>6223</v>
      </c>
      <c r="M854" s="78">
        <v>6628</v>
      </c>
    </row>
    <row r="855" spans="1:15" s="345" customFormat="1" ht="30" customHeight="1">
      <c r="A855" s="123" t="s">
        <v>758</v>
      </c>
      <c r="B855" s="347" t="s">
        <v>33</v>
      </c>
      <c r="C855" s="112" t="s">
        <v>101</v>
      </c>
      <c r="D855" s="112" t="s">
        <v>408</v>
      </c>
      <c r="E855" s="112" t="s">
        <v>139</v>
      </c>
      <c r="F855" s="112" t="s">
        <v>153</v>
      </c>
      <c r="G855" s="112" t="s">
        <v>412</v>
      </c>
      <c r="H855" s="129">
        <v>200</v>
      </c>
      <c r="I855" s="78">
        <v>197</v>
      </c>
      <c r="J855" s="78">
        <v>197</v>
      </c>
      <c r="K855" s="348">
        <f aca="true" t="shared" si="112" ref="K855:K928">J855-I855</f>
        <v>0</v>
      </c>
      <c r="L855" s="78">
        <v>226</v>
      </c>
      <c r="M855" s="78">
        <v>232</v>
      </c>
      <c r="N855" s="346"/>
      <c r="O855" s="346"/>
    </row>
    <row r="856" spans="1:13" s="345" customFormat="1" ht="19.5" customHeight="1">
      <c r="A856" s="123" t="s">
        <v>759</v>
      </c>
      <c r="B856" s="347" t="s">
        <v>33</v>
      </c>
      <c r="C856" s="112" t="s">
        <v>101</v>
      </c>
      <c r="D856" s="112" t="s">
        <v>408</v>
      </c>
      <c r="E856" s="112" t="s">
        <v>139</v>
      </c>
      <c r="F856" s="112" t="s">
        <v>153</v>
      </c>
      <c r="G856" s="112" t="s">
        <v>412</v>
      </c>
      <c r="H856" s="129">
        <v>800</v>
      </c>
      <c r="I856" s="78">
        <v>10</v>
      </c>
      <c r="J856" s="78">
        <v>10</v>
      </c>
      <c r="K856" s="348">
        <f t="shared" si="112"/>
        <v>0</v>
      </c>
      <c r="L856" s="78">
        <v>10</v>
      </c>
      <c r="M856" s="78">
        <v>10</v>
      </c>
    </row>
    <row r="857" spans="1:13" s="345" customFormat="1" ht="48.75" customHeight="1">
      <c r="A857" s="123" t="s">
        <v>1168</v>
      </c>
      <c r="B857" s="347" t="s">
        <v>33</v>
      </c>
      <c r="C857" s="112" t="s">
        <v>101</v>
      </c>
      <c r="D857" s="112" t="s">
        <v>408</v>
      </c>
      <c r="E857" s="112" t="s">
        <v>139</v>
      </c>
      <c r="F857" s="112" t="s">
        <v>153</v>
      </c>
      <c r="G857" s="112" t="s">
        <v>1169</v>
      </c>
      <c r="H857" s="129"/>
      <c r="I857" s="78">
        <f>I858</f>
        <v>26.3</v>
      </c>
      <c r="J857" s="78">
        <f>J858</f>
        <v>26.3</v>
      </c>
      <c r="K857" s="348">
        <f t="shared" si="112"/>
        <v>0</v>
      </c>
      <c r="L857" s="78">
        <f>L858</f>
        <v>0</v>
      </c>
      <c r="M857" s="78">
        <f>M858</f>
        <v>0</v>
      </c>
    </row>
    <row r="858" spans="1:13" s="345" customFormat="1" ht="33.75" customHeight="1">
      <c r="A858" s="123" t="s">
        <v>758</v>
      </c>
      <c r="B858" s="347" t="s">
        <v>33</v>
      </c>
      <c r="C858" s="112" t="s">
        <v>101</v>
      </c>
      <c r="D858" s="112" t="s">
        <v>408</v>
      </c>
      <c r="E858" s="112" t="s">
        <v>139</v>
      </c>
      <c r="F858" s="112" t="s">
        <v>153</v>
      </c>
      <c r="G858" s="112" t="s">
        <v>1169</v>
      </c>
      <c r="H858" s="129">
        <v>200</v>
      </c>
      <c r="I858" s="78">
        <v>26.3</v>
      </c>
      <c r="J858" s="78">
        <v>26.3</v>
      </c>
      <c r="K858" s="348">
        <f t="shared" si="112"/>
        <v>0</v>
      </c>
      <c r="L858" s="78"/>
      <c r="M858" s="78"/>
    </row>
    <row r="859" spans="1:13" ht="48.75" customHeight="1">
      <c r="A859" s="139" t="s">
        <v>35</v>
      </c>
      <c r="B859" s="343" t="s">
        <v>34</v>
      </c>
      <c r="C859" s="107"/>
      <c r="D859" s="71"/>
      <c r="E859" s="71"/>
      <c r="F859" s="71"/>
      <c r="G859" s="71"/>
      <c r="H859" s="71"/>
      <c r="I859" s="37">
        <f>I860+I878+I922+I948</f>
        <v>284850.9</v>
      </c>
      <c r="J859" s="37">
        <f>J860+J878+J922+J948</f>
        <v>306153.4</v>
      </c>
      <c r="K859" s="344">
        <f t="shared" si="112"/>
        <v>21302.5</v>
      </c>
      <c r="L859" s="37">
        <f>L860+L878+L922+L948</f>
        <v>61800.100000000006</v>
      </c>
      <c r="M859" s="37">
        <f>M860+M878+M922+M948</f>
        <v>98482.8</v>
      </c>
    </row>
    <row r="860" spans="1:13" ht="21" customHeight="1">
      <c r="A860" s="139" t="s">
        <v>42</v>
      </c>
      <c r="B860" s="343" t="s">
        <v>34</v>
      </c>
      <c r="C860" s="107" t="s">
        <v>43</v>
      </c>
      <c r="D860" s="71"/>
      <c r="E860" s="71"/>
      <c r="F860" s="71"/>
      <c r="G860" s="71"/>
      <c r="H860" s="71"/>
      <c r="I860" s="37">
        <f aca="true" t="shared" si="113" ref="I860:M862">I861</f>
        <v>9221.9</v>
      </c>
      <c r="J860" s="37">
        <f t="shared" si="113"/>
        <v>9221.9</v>
      </c>
      <c r="K860" s="344">
        <f t="shared" si="112"/>
        <v>0</v>
      </c>
      <c r="L860" s="37">
        <f t="shared" si="113"/>
        <v>9539</v>
      </c>
      <c r="M860" s="37">
        <f t="shared" si="113"/>
        <v>9929</v>
      </c>
    </row>
    <row r="861" spans="1:13" ht="21.75" customHeight="1">
      <c r="A861" s="139" t="s">
        <v>441</v>
      </c>
      <c r="B861" s="343" t="s">
        <v>34</v>
      </c>
      <c r="C861" s="107" t="s">
        <v>57</v>
      </c>
      <c r="D861" s="107" t="s">
        <v>442</v>
      </c>
      <c r="E861" s="107" t="s">
        <v>154</v>
      </c>
      <c r="F861" s="107" t="s">
        <v>155</v>
      </c>
      <c r="G861" s="107" t="s">
        <v>156</v>
      </c>
      <c r="H861" s="105"/>
      <c r="I861" s="37">
        <f t="shared" si="113"/>
        <v>9221.9</v>
      </c>
      <c r="J861" s="37">
        <f t="shared" si="113"/>
        <v>9221.9</v>
      </c>
      <c r="K861" s="344">
        <f t="shared" si="112"/>
        <v>0</v>
      </c>
      <c r="L861" s="37">
        <f t="shared" si="113"/>
        <v>9539</v>
      </c>
      <c r="M861" s="37">
        <f t="shared" si="113"/>
        <v>9929</v>
      </c>
    </row>
    <row r="862" spans="1:13" ht="21" customHeight="1">
      <c r="A862" s="136" t="s">
        <v>410</v>
      </c>
      <c r="B862" s="343" t="s">
        <v>34</v>
      </c>
      <c r="C862" s="107" t="s">
        <v>57</v>
      </c>
      <c r="D862" s="71" t="s">
        <v>442</v>
      </c>
      <c r="E862" s="71" t="s">
        <v>338</v>
      </c>
      <c r="F862" s="71" t="s">
        <v>155</v>
      </c>
      <c r="G862" s="71" t="s">
        <v>156</v>
      </c>
      <c r="H862" s="71"/>
      <c r="I862" s="37">
        <f t="shared" si="113"/>
        <v>9221.9</v>
      </c>
      <c r="J862" s="37">
        <f t="shared" si="113"/>
        <v>9221.9</v>
      </c>
      <c r="K862" s="344">
        <f t="shared" si="112"/>
        <v>0</v>
      </c>
      <c r="L862" s="37">
        <f t="shared" si="113"/>
        <v>9539</v>
      </c>
      <c r="M862" s="37">
        <f t="shared" si="113"/>
        <v>9929</v>
      </c>
    </row>
    <row r="863" spans="1:13" s="355" customFormat="1" ht="16.5" customHeight="1">
      <c r="A863" s="136" t="s">
        <v>410</v>
      </c>
      <c r="B863" s="343" t="s">
        <v>34</v>
      </c>
      <c r="C863" s="107" t="s">
        <v>57</v>
      </c>
      <c r="D863" s="107" t="s">
        <v>442</v>
      </c>
      <c r="E863" s="107" t="s">
        <v>338</v>
      </c>
      <c r="F863" s="71" t="s">
        <v>153</v>
      </c>
      <c r="G863" s="71" t="s">
        <v>156</v>
      </c>
      <c r="H863" s="71"/>
      <c r="I863" s="37">
        <f>I864+I870+I874+I876+I868</f>
        <v>9221.9</v>
      </c>
      <c r="J863" s="37">
        <f>J864+J870+J874+J876+J868</f>
        <v>9221.9</v>
      </c>
      <c r="K863" s="344">
        <f t="shared" si="112"/>
        <v>0</v>
      </c>
      <c r="L863" s="37">
        <f>L864+L870+L874+L876+L868</f>
        <v>9539</v>
      </c>
      <c r="M863" s="37">
        <f>M864+M870+M874+M876+M868</f>
        <v>9929</v>
      </c>
    </row>
    <row r="864" spans="1:13" ht="18.75" customHeight="1">
      <c r="A864" s="121" t="s">
        <v>196</v>
      </c>
      <c r="B864" s="347" t="s">
        <v>34</v>
      </c>
      <c r="C864" s="112" t="s">
        <v>57</v>
      </c>
      <c r="D864" s="112" t="s">
        <v>442</v>
      </c>
      <c r="E864" s="112" t="s">
        <v>338</v>
      </c>
      <c r="F864" s="111" t="s">
        <v>153</v>
      </c>
      <c r="G864" s="112" t="s">
        <v>197</v>
      </c>
      <c r="H864" s="129"/>
      <c r="I864" s="78">
        <f>I865+I866+I867</f>
        <v>9153</v>
      </c>
      <c r="J864" s="78">
        <f>J865+J866+J867</f>
        <v>9153</v>
      </c>
      <c r="K864" s="348">
        <f t="shared" si="112"/>
        <v>0</v>
      </c>
      <c r="L864" s="78">
        <f>L865+L866+L867</f>
        <v>7018</v>
      </c>
      <c r="M864" s="78">
        <f>M865+M866+M867</f>
        <v>7307</v>
      </c>
    </row>
    <row r="865" spans="1:13" ht="65.25" customHeight="1">
      <c r="A865" s="123" t="s">
        <v>755</v>
      </c>
      <c r="B865" s="347" t="s">
        <v>34</v>
      </c>
      <c r="C865" s="112" t="s">
        <v>57</v>
      </c>
      <c r="D865" s="112" t="s">
        <v>442</v>
      </c>
      <c r="E865" s="112" t="s">
        <v>338</v>
      </c>
      <c r="F865" s="111" t="s">
        <v>153</v>
      </c>
      <c r="G865" s="112" t="s">
        <v>197</v>
      </c>
      <c r="H865" s="129">
        <v>100</v>
      </c>
      <c r="I865" s="78">
        <v>8662</v>
      </c>
      <c r="J865" s="78">
        <f>8662</f>
        <v>8662</v>
      </c>
      <c r="K865" s="348">
        <f t="shared" si="112"/>
        <v>0</v>
      </c>
      <c r="L865" s="78">
        <v>6636</v>
      </c>
      <c r="M865" s="78">
        <v>6907</v>
      </c>
    </row>
    <row r="866" spans="1:13" ht="33.75" customHeight="1">
      <c r="A866" s="123" t="s">
        <v>758</v>
      </c>
      <c r="B866" s="347" t="s">
        <v>34</v>
      </c>
      <c r="C866" s="112" t="s">
        <v>57</v>
      </c>
      <c r="D866" s="112" t="s">
        <v>442</v>
      </c>
      <c r="E866" s="112" t="s">
        <v>338</v>
      </c>
      <c r="F866" s="111" t="s">
        <v>153</v>
      </c>
      <c r="G866" s="112" t="s">
        <v>197</v>
      </c>
      <c r="H866" s="129">
        <v>200</v>
      </c>
      <c r="I866" s="78">
        <v>338</v>
      </c>
      <c r="J866" s="78">
        <v>338</v>
      </c>
      <c r="K866" s="348">
        <f t="shared" si="112"/>
        <v>0</v>
      </c>
      <c r="L866" s="78">
        <v>222</v>
      </c>
      <c r="M866" s="78">
        <v>230</v>
      </c>
    </row>
    <row r="867" spans="1:13" ht="17.25" customHeight="1">
      <c r="A867" s="123" t="s">
        <v>759</v>
      </c>
      <c r="B867" s="347" t="s">
        <v>34</v>
      </c>
      <c r="C867" s="112" t="s">
        <v>57</v>
      </c>
      <c r="D867" s="112" t="s">
        <v>442</v>
      </c>
      <c r="E867" s="112" t="s">
        <v>338</v>
      </c>
      <c r="F867" s="111" t="s">
        <v>153</v>
      </c>
      <c r="G867" s="112" t="s">
        <v>197</v>
      </c>
      <c r="H867" s="129">
        <v>800</v>
      </c>
      <c r="I867" s="78">
        <v>153</v>
      </c>
      <c r="J867" s="78">
        <v>153</v>
      </c>
      <c r="K867" s="348">
        <f t="shared" si="112"/>
        <v>0</v>
      </c>
      <c r="L867" s="78">
        <v>160</v>
      </c>
      <c r="M867" s="78">
        <v>170</v>
      </c>
    </row>
    <row r="868" spans="1:13" ht="47.25" customHeight="1">
      <c r="A868" s="121" t="s">
        <v>1183</v>
      </c>
      <c r="B868" s="347" t="s">
        <v>34</v>
      </c>
      <c r="C868" s="112" t="s">
        <v>57</v>
      </c>
      <c r="D868" s="112" t="s">
        <v>442</v>
      </c>
      <c r="E868" s="112" t="s">
        <v>338</v>
      </c>
      <c r="F868" s="112" t="s">
        <v>153</v>
      </c>
      <c r="G868" s="112" t="s">
        <v>1169</v>
      </c>
      <c r="H868" s="393"/>
      <c r="I868" s="78">
        <f>I869</f>
        <v>68.9</v>
      </c>
      <c r="J868" s="78">
        <f>J869</f>
        <v>68.9</v>
      </c>
      <c r="K868" s="348">
        <f t="shared" si="112"/>
        <v>0</v>
      </c>
      <c r="L868" s="78">
        <f>L869</f>
        <v>0</v>
      </c>
      <c r="M868" s="78">
        <f>M869</f>
        <v>0</v>
      </c>
    </row>
    <row r="869" spans="1:13" ht="20.25" customHeight="1">
      <c r="A869" s="123" t="s">
        <v>758</v>
      </c>
      <c r="B869" s="347" t="s">
        <v>34</v>
      </c>
      <c r="C869" s="112" t="s">
        <v>57</v>
      </c>
      <c r="D869" s="112" t="s">
        <v>442</v>
      </c>
      <c r="E869" s="112" t="s">
        <v>338</v>
      </c>
      <c r="F869" s="112" t="s">
        <v>153</v>
      </c>
      <c r="G869" s="112" t="s">
        <v>1169</v>
      </c>
      <c r="H869" s="129">
        <v>200</v>
      </c>
      <c r="I869" s="78">
        <v>68.9</v>
      </c>
      <c r="J869" s="78">
        <v>68.9</v>
      </c>
      <c r="K869" s="348">
        <f t="shared" si="112"/>
        <v>0</v>
      </c>
      <c r="L869" s="78"/>
      <c r="M869" s="78"/>
    </row>
    <row r="870" spans="1:15" ht="31.5" customHeight="1">
      <c r="A870" s="123" t="s">
        <v>492</v>
      </c>
      <c r="B870" s="352" t="s">
        <v>34</v>
      </c>
      <c r="C870" s="112" t="s">
        <v>57</v>
      </c>
      <c r="D870" s="112" t="s">
        <v>442</v>
      </c>
      <c r="E870" s="112" t="s">
        <v>338</v>
      </c>
      <c r="F870" s="111" t="s">
        <v>153</v>
      </c>
      <c r="G870" s="112" t="s">
        <v>488</v>
      </c>
      <c r="H870" s="143"/>
      <c r="I870" s="353">
        <f>I871+I872+I873</f>
        <v>0</v>
      </c>
      <c r="J870" s="353">
        <f>J871+J872+J873</f>
        <v>0</v>
      </c>
      <c r="K870" s="348">
        <f t="shared" si="112"/>
        <v>0</v>
      </c>
      <c r="L870" s="353">
        <f>L871+L872+L873</f>
        <v>2521</v>
      </c>
      <c r="M870" s="353">
        <f>M871+M872+M873</f>
        <v>2622</v>
      </c>
      <c r="N870" s="355"/>
      <c r="O870" s="355"/>
    </row>
    <row r="871" spans="1:15" ht="63.75" customHeight="1">
      <c r="A871" s="123" t="s">
        <v>755</v>
      </c>
      <c r="B871" s="352" t="s">
        <v>34</v>
      </c>
      <c r="C871" s="112" t="s">
        <v>57</v>
      </c>
      <c r="D871" s="112" t="s">
        <v>442</v>
      </c>
      <c r="E871" s="112" t="s">
        <v>338</v>
      </c>
      <c r="F871" s="111" t="s">
        <v>153</v>
      </c>
      <c r="G871" s="112" t="s">
        <v>488</v>
      </c>
      <c r="H871" s="143">
        <v>100</v>
      </c>
      <c r="I871" s="353"/>
      <c r="J871" s="353"/>
      <c r="K871" s="348">
        <f t="shared" si="112"/>
        <v>0</v>
      </c>
      <c r="L871" s="78">
        <v>2372</v>
      </c>
      <c r="M871" s="78">
        <v>2467</v>
      </c>
      <c r="N871" s="355"/>
      <c r="O871" s="355"/>
    </row>
    <row r="872" spans="1:15" s="355" customFormat="1" ht="31.5" customHeight="1">
      <c r="A872" s="123" t="s">
        <v>758</v>
      </c>
      <c r="B872" s="352" t="s">
        <v>34</v>
      </c>
      <c r="C872" s="112" t="s">
        <v>57</v>
      </c>
      <c r="D872" s="112" t="s">
        <v>442</v>
      </c>
      <c r="E872" s="112" t="s">
        <v>338</v>
      </c>
      <c r="F872" s="111" t="s">
        <v>153</v>
      </c>
      <c r="G872" s="112" t="s">
        <v>488</v>
      </c>
      <c r="H872" s="143">
        <v>200</v>
      </c>
      <c r="I872" s="353"/>
      <c r="J872" s="353"/>
      <c r="K872" s="348">
        <f t="shared" si="112"/>
        <v>0</v>
      </c>
      <c r="L872" s="78">
        <v>149</v>
      </c>
      <c r="M872" s="78">
        <v>155</v>
      </c>
      <c r="N872" s="327"/>
      <c r="O872" s="327"/>
    </row>
    <row r="873" spans="1:15" s="355" customFormat="1" ht="21" customHeight="1" hidden="1">
      <c r="A873" s="123" t="s">
        <v>759</v>
      </c>
      <c r="B873" s="352" t="s">
        <v>34</v>
      </c>
      <c r="C873" s="112" t="s">
        <v>57</v>
      </c>
      <c r="D873" s="112" t="s">
        <v>442</v>
      </c>
      <c r="E873" s="112" t="s">
        <v>338</v>
      </c>
      <c r="F873" s="111" t="s">
        <v>153</v>
      </c>
      <c r="G873" s="112" t="s">
        <v>488</v>
      </c>
      <c r="H873" s="143">
        <v>800</v>
      </c>
      <c r="I873" s="353"/>
      <c r="J873" s="353"/>
      <c r="K873" s="348">
        <f t="shared" si="112"/>
        <v>0</v>
      </c>
      <c r="L873" s="78"/>
      <c r="M873" s="78"/>
      <c r="N873" s="327"/>
      <c r="O873" s="327"/>
    </row>
    <row r="874" spans="1:15" s="355" customFormat="1" ht="47.25" customHeight="1" hidden="1">
      <c r="A874" s="123" t="s">
        <v>792</v>
      </c>
      <c r="B874" s="352" t="s">
        <v>34</v>
      </c>
      <c r="C874" s="112" t="s">
        <v>57</v>
      </c>
      <c r="D874" s="112" t="s">
        <v>442</v>
      </c>
      <c r="E874" s="112" t="s">
        <v>338</v>
      </c>
      <c r="F874" s="111" t="s">
        <v>153</v>
      </c>
      <c r="G874" s="112" t="s">
        <v>791</v>
      </c>
      <c r="H874" s="143"/>
      <c r="I874" s="353">
        <f>I875</f>
        <v>0</v>
      </c>
      <c r="J874" s="353">
        <f>J875</f>
        <v>0</v>
      </c>
      <c r="K874" s="348">
        <f t="shared" si="112"/>
        <v>0</v>
      </c>
      <c r="L874" s="353">
        <f>L875</f>
        <v>0</v>
      </c>
      <c r="M874" s="353">
        <f>M875</f>
        <v>0</v>
      </c>
      <c r="N874" s="327"/>
      <c r="O874" s="327"/>
    </row>
    <row r="875" spans="1:15" s="355" customFormat="1" ht="33" customHeight="1" hidden="1">
      <c r="A875" s="123" t="s">
        <v>758</v>
      </c>
      <c r="B875" s="352" t="s">
        <v>34</v>
      </c>
      <c r="C875" s="112" t="s">
        <v>57</v>
      </c>
      <c r="D875" s="112" t="s">
        <v>442</v>
      </c>
      <c r="E875" s="112" t="s">
        <v>338</v>
      </c>
      <c r="F875" s="111" t="s">
        <v>153</v>
      </c>
      <c r="G875" s="112" t="s">
        <v>791</v>
      </c>
      <c r="H875" s="143">
        <v>200</v>
      </c>
      <c r="I875" s="353"/>
      <c r="J875" s="353"/>
      <c r="K875" s="348">
        <f t="shared" si="112"/>
        <v>0</v>
      </c>
      <c r="L875" s="78"/>
      <c r="M875" s="78"/>
      <c r="N875" s="327"/>
      <c r="O875" s="327"/>
    </row>
    <row r="876" spans="1:15" s="355" customFormat="1" ht="60.75" customHeight="1" hidden="1">
      <c r="A876" s="123" t="s">
        <v>849</v>
      </c>
      <c r="B876" s="352">
        <v>118</v>
      </c>
      <c r="C876" s="112" t="s">
        <v>57</v>
      </c>
      <c r="D876" s="112" t="s">
        <v>442</v>
      </c>
      <c r="E876" s="112" t="s">
        <v>338</v>
      </c>
      <c r="F876" s="111" t="s">
        <v>153</v>
      </c>
      <c r="G876" s="112" t="s">
        <v>852</v>
      </c>
      <c r="H876" s="143"/>
      <c r="I876" s="353">
        <f>I877</f>
        <v>0</v>
      </c>
      <c r="J876" s="353">
        <f>J877</f>
        <v>0</v>
      </c>
      <c r="K876" s="348">
        <f t="shared" si="112"/>
        <v>0</v>
      </c>
      <c r="L876" s="353">
        <f>L877</f>
        <v>0</v>
      </c>
      <c r="M876" s="353">
        <f>M877</f>
        <v>0</v>
      </c>
      <c r="N876" s="327"/>
      <c r="O876" s="327"/>
    </row>
    <row r="877" spans="1:15" s="355" customFormat="1" ht="21" customHeight="1" hidden="1">
      <c r="A877" s="123" t="s">
        <v>759</v>
      </c>
      <c r="B877" s="352">
        <v>118</v>
      </c>
      <c r="C877" s="112" t="s">
        <v>57</v>
      </c>
      <c r="D877" s="112" t="s">
        <v>442</v>
      </c>
      <c r="E877" s="112" t="s">
        <v>338</v>
      </c>
      <c r="F877" s="111" t="s">
        <v>153</v>
      </c>
      <c r="G877" s="112" t="s">
        <v>852</v>
      </c>
      <c r="H877" s="143">
        <v>800</v>
      </c>
      <c r="I877" s="353"/>
      <c r="J877" s="353"/>
      <c r="K877" s="348">
        <f t="shared" si="112"/>
        <v>0</v>
      </c>
      <c r="L877" s="78"/>
      <c r="M877" s="78"/>
      <c r="N877" s="327"/>
      <c r="O877" s="327"/>
    </row>
    <row r="878" spans="1:13" ht="15" customHeight="1">
      <c r="A878" s="139" t="s">
        <v>62</v>
      </c>
      <c r="B878" s="343">
        <v>118</v>
      </c>
      <c r="C878" s="107" t="s">
        <v>63</v>
      </c>
      <c r="D878" s="71"/>
      <c r="E878" s="71"/>
      <c r="F878" s="71"/>
      <c r="G878" s="71"/>
      <c r="H878" s="71"/>
      <c r="I878" s="37">
        <f>I879+I916</f>
        <v>203722.90000000002</v>
      </c>
      <c r="J878" s="37">
        <f>J879+J916</f>
        <v>225025.40000000002</v>
      </c>
      <c r="K878" s="344">
        <f t="shared" si="112"/>
        <v>21302.5</v>
      </c>
      <c r="L878" s="37">
        <f>L879+L916</f>
        <v>20451</v>
      </c>
      <c r="M878" s="37">
        <f>M879+M916</f>
        <v>17048</v>
      </c>
    </row>
    <row r="879" spans="1:13" ht="18" customHeight="1">
      <c r="A879" s="139" t="s">
        <v>68</v>
      </c>
      <c r="B879" s="343">
        <v>118</v>
      </c>
      <c r="C879" s="107" t="s">
        <v>69</v>
      </c>
      <c r="D879" s="71"/>
      <c r="E879" s="71"/>
      <c r="F879" s="71"/>
      <c r="G879" s="71"/>
      <c r="H879" s="71"/>
      <c r="I879" s="37">
        <f>I880+I889+I894+I907</f>
        <v>203722.90000000002</v>
      </c>
      <c r="J879" s="37">
        <f>J880+J889+J894+J907</f>
        <v>223445.40000000002</v>
      </c>
      <c r="K879" s="344">
        <f t="shared" si="112"/>
        <v>19722.5</v>
      </c>
      <c r="L879" s="37">
        <f>L880+L889+L894+L907</f>
        <v>20451</v>
      </c>
      <c r="M879" s="37">
        <f>M880+M889+M894+M907</f>
        <v>17048</v>
      </c>
    </row>
    <row r="880" spans="1:13" ht="48.75" customHeight="1">
      <c r="A880" s="139" t="s">
        <v>296</v>
      </c>
      <c r="B880" s="358">
        <v>118</v>
      </c>
      <c r="C880" s="107" t="s">
        <v>69</v>
      </c>
      <c r="D880" s="107" t="s">
        <v>297</v>
      </c>
      <c r="E880" s="107" t="s">
        <v>154</v>
      </c>
      <c r="F880" s="71" t="s">
        <v>155</v>
      </c>
      <c r="G880" s="107" t="s">
        <v>156</v>
      </c>
      <c r="H880" s="153"/>
      <c r="I880" s="88">
        <f aca="true" t="shared" si="114" ref="I880:M883">I881</f>
        <v>158385.7</v>
      </c>
      <c r="J880" s="88">
        <f t="shared" si="114"/>
        <v>158385.7</v>
      </c>
      <c r="K880" s="344">
        <f t="shared" si="112"/>
        <v>0</v>
      </c>
      <c r="L880" s="88">
        <f t="shared" si="114"/>
        <v>3000</v>
      </c>
      <c r="M880" s="88">
        <f t="shared" si="114"/>
        <v>0</v>
      </c>
    </row>
    <row r="881" spans="1:13" ht="35.25" customHeight="1">
      <c r="A881" s="136" t="s">
        <v>925</v>
      </c>
      <c r="B881" s="358">
        <v>118</v>
      </c>
      <c r="C881" s="107" t="s">
        <v>69</v>
      </c>
      <c r="D881" s="107" t="s">
        <v>297</v>
      </c>
      <c r="E881" s="107" t="s">
        <v>139</v>
      </c>
      <c r="F881" s="71" t="s">
        <v>155</v>
      </c>
      <c r="G881" s="107" t="s">
        <v>156</v>
      </c>
      <c r="H881" s="153"/>
      <c r="I881" s="88">
        <f t="shared" si="114"/>
        <v>158385.7</v>
      </c>
      <c r="J881" s="88">
        <f t="shared" si="114"/>
        <v>158385.7</v>
      </c>
      <c r="K881" s="344">
        <f t="shared" si="112"/>
        <v>0</v>
      </c>
      <c r="L881" s="88">
        <f t="shared" si="114"/>
        <v>3000</v>
      </c>
      <c r="M881" s="88">
        <f t="shared" si="114"/>
        <v>0</v>
      </c>
    </row>
    <row r="882" spans="1:13" s="355" customFormat="1" ht="48" customHeight="1">
      <c r="A882" s="136" t="s">
        <v>926</v>
      </c>
      <c r="B882" s="358">
        <v>118</v>
      </c>
      <c r="C882" s="107" t="s">
        <v>69</v>
      </c>
      <c r="D882" s="107" t="s">
        <v>297</v>
      </c>
      <c r="E882" s="107" t="s">
        <v>139</v>
      </c>
      <c r="F882" s="71" t="s">
        <v>153</v>
      </c>
      <c r="G882" s="107" t="s">
        <v>156</v>
      </c>
      <c r="H882" s="153"/>
      <c r="I882" s="88">
        <f>I883+I885+I887</f>
        <v>158385.7</v>
      </c>
      <c r="J882" s="88">
        <f>J883+J885+J887</f>
        <v>158385.7</v>
      </c>
      <c r="K882" s="344">
        <f t="shared" si="112"/>
        <v>0</v>
      </c>
      <c r="L882" s="88">
        <f>L883+L885+L887</f>
        <v>3000</v>
      </c>
      <c r="M882" s="88">
        <f>M883+M885+M887</f>
        <v>0</v>
      </c>
    </row>
    <row r="883" spans="1:13" ht="108" customHeight="1">
      <c r="A883" s="123" t="s">
        <v>529</v>
      </c>
      <c r="B883" s="352">
        <v>118</v>
      </c>
      <c r="C883" s="112" t="s">
        <v>69</v>
      </c>
      <c r="D883" s="112" t="s">
        <v>297</v>
      </c>
      <c r="E883" s="112" t="s">
        <v>139</v>
      </c>
      <c r="F883" s="111" t="s">
        <v>153</v>
      </c>
      <c r="G883" s="112" t="s">
        <v>528</v>
      </c>
      <c r="H883" s="143"/>
      <c r="I883" s="353">
        <f t="shared" si="114"/>
        <v>149073.1</v>
      </c>
      <c r="J883" s="353">
        <f t="shared" si="114"/>
        <v>149073.1</v>
      </c>
      <c r="K883" s="348">
        <f t="shared" si="112"/>
        <v>0</v>
      </c>
      <c r="L883" s="353">
        <f t="shared" si="114"/>
        <v>3000</v>
      </c>
      <c r="M883" s="353">
        <f t="shared" si="114"/>
        <v>0</v>
      </c>
    </row>
    <row r="884" spans="1:15" ht="33" customHeight="1">
      <c r="A884" s="121" t="s">
        <v>769</v>
      </c>
      <c r="B884" s="352">
        <v>118</v>
      </c>
      <c r="C884" s="112" t="s">
        <v>69</v>
      </c>
      <c r="D884" s="112" t="s">
        <v>297</v>
      </c>
      <c r="E884" s="112" t="s">
        <v>139</v>
      </c>
      <c r="F884" s="111" t="s">
        <v>153</v>
      </c>
      <c r="G884" s="112" t="s">
        <v>528</v>
      </c>
      <c r="H884" s="143">
        <v>400</v>
      </c>
      <c r="I884" s="353">
        <f>3936+100000+2297.2+42839.9</f>
        <v>149073.1</v>
      </c>
      <c r="J884" s="353">
        <f>3936+100000+2297.2+42839.9</f>
        <v>149073.1</v>
      </c>
      <c r="K884" s="348">
        <f t="shared" si="112"/>
        <v>0</v>
      </c>
      <c r="L884" s="78">
        <v>3000</v>
      </c>
      <c r="M884" s="78"/>
      <c r="N884" s="355"/>
      <c r="O884" s="355"/>
    </row>
    <row r="885" spans="1:15" ht="31.5" customHeight="1">
      <c r="A885" s="121" t="s">
        <v>1179</v>
      </c>
      <c r="B885" s="352">
        <v>118</v>
      </c>
      <c r="C885" s="112" t="s">
        <v>69</v>
      </c>
      <c r="D885" s="112" t="s">
        <v>297</v>
      </c>
      <c r="E885" s="112" t="s">
        <v>139</v>
      </c>
      <c r="F885" s="111" t="s">
        <v>153</v>
      </c>
      <c r="G885" s="112" t="s">
        <v>1177</v>
      </c>
      <c r="H885" s="143"/>
      <c r="I885" s="353">
        <f>I886</f>
        <v>3800</v>
      </c>
      <c r="J885" s="353">
        <f>J886</f>
        <v>3800</v>
      </c>
      <c r="K885" s="348">
        <f t="shared" si="112"/>
        <v>0</v>
      </c>
      <c r="L885" s="353">
        <f>L886</f>
        <v>0</v>
      </c>
      <c r="M885" s="353">
        <f>M886</f>
        <v>0</v>
      </c>
      <c r="N885" s="355"/>
      <c r="O885" s="355"/>
    </row>
    <row r="886" spans="1:15" ht="33" customHeight="1">
      <c r="A886" s="123" t="s">
        <v>758</v>
      </c>
      <c r="B886" s="352">
        <v>118</v>
      </c>
      <c r="C886" s="112" t="s">
        <v>69</v>
      </c>
      <c r="D886" s="112" t="s">
        <v>297</v>
      </c>
      <c r="E886" s="112" t="s">
        <v>139</v>
      </c>
      <c r="F886" s="111" t="s">
        <v>153</v>
      </c>
      <c r="G886" s="112" t="s">
        <v>1177</v>
      </c>
      <c r="H886" s="143">
        <v>200</v>
      </c>
      <c r="I886" s="353">
        <v>3800</v>
      </c>
      <c r="J886" s="353">
        <v>3800</v>
      </c>
      <c r="K886" s="348">
        <f t="shared" si="112"/>
        <v>0</v>
      </c>
      <c r="L886" s="78"/>
      <c r="M886" s="78"/>
      <c r="N886" s="355"/>
      <c r="O886" s="355"/>
    </row>
    <row r="887" spans="1:15" ht="31.5" customHeight="1">
      <c r="A887" s="121" t="s">
        <v>1180</v>
      </c>
      <c r="B887" s="352">
        <v>118</v>
      </c>
      <c r="C887" s="112" t="s">
        <v>69</v>
      </c>
      <c r="D887" s="112" t="s">
        <v>297</v>
      </c>
      <c r="E887" s="112" t="s">
        <v>139</v>
      </c>
      <c r="F887" s="111" t="s">
        <v>153</v>
      </c>
      <c r="G887" s="112" t="s">
        <v>1178</v>
      </c>
      <c r="H887" s="143"/>
      <c r="I887" s="353">
        <f>I888</f>
        <v>5512.6</v>
      </c>
      <c r="J887" s="353">
        <f>J888</f>
        <v>5512.6</v>
      </c>
      <c r="K887" s="348">
        <f t="shared" si="112"/>
        <v>0</v>
      </c>
      <c r="L887" s="353">
        <f>L888</f>
        <v>0</v>
      </c>
      <c r="M887" s="353">
        <f>M888</f>
        <v>0</v>
      </c>
      <c r="N887" s="355"/>
      <c r="O887" s="355"/>
    </row>
    <row r="888" spans="1:15" ht="33" customHeight="1">
      <c r="A888" s="123" t="s">
        <v>758</v>
      </c>
      <c r="B888" s="352">
        <v>118</v>
      </c>
      <c r="C888" s="112" t="s">
        <v>69</v>
      </c>
      <c r="D888" s="112" t="s">
        <v>297</v>
      </c>
      <c r="E888" s="112" t="s">
        <v>139</v>
      </c>
      <c r="F888" s="111" t="s">
        <v>153</v>
      </c>
      <c r="G888" s="112" t="s">
        <v>1178</v>
      </c>
      <c r="H888" s="143">
        <v>200</v>
      </c>
      <c r="I888" s="353">
        <v>5512.6</v>
      </c>
      <c r="J888" s="353">
        <v>5512.6</v>
      </c>
      <c r="K888" s="348">
        <f t="shared" si="112"/>
        <v>0</v>
      </c>
      <c r="L888" s="78"/>
      <c r="M888" s="78"/>
      <c r="N888" s="355"/>
      <c r="O888" s="355"/>
    </row>
    <row r="889" spans="1:15" ht="26.25" customHeight="1" hidden="1">
      <c r="A889" s="139" t="s">
        <v>441</v>
      </c>
      <c r="B889" s="358">
        <v>118</v>
      </c>
      <c r="C889" s="107" t="s">
        <v>69</v>
      </c>
      <c r="D889" s="107" t="s">
        <v>442</v>
      </c>
      <c r="E889" s="107" t="s">
        <v>154</v>
      </c>
      <c r="F889" s="71" t="s">
        <v>155</v>
      </c>
      <c r="G889" s="107" t="s">
        <v>156</v>
      </c>
      <c r="H889" s="153"/>
      <c r="I889" s="88">
        <f aca="true" t="shared" si="115" ref="I889:M892">I890</f>
        <v>0</v>
      </c>
      <c r="J889" s="88">
        <f t="shared" si="115"/>
        <v>0</v>
      </c>
      <c r="K889" s="344">
        <f t="shared" si="112"/>
        <v>0</v>
      </c>
      <c r="L889" s="88">
        <f t="shared" si="115"/>
        <v>0</v>
      </c>
      <c r="M889" s="88">
        <f t="shared" si="115"/>
        <v>0</v>
      </c>
      <c r="N889" s="355"/>
      <c r="O889" s="355"/>
    </row>
    <row r="890" spans="1:15" s="355" customFormat="1" ht="33" customHeight="1" hidden="1">
      <c r="A890" s="136" t="s">
        <v>410</v>
      </c>
      <c r="B890" s="358">
        <v>118</v>
      </c>
      <c r="C890" s="107" t="s">
        <v>69</v>
      </c>
      <c r="D890" s="107" t="s">
        <v>442</v>
      </c>
      <c r="E890" s="107" t="s">
        <v>338</v>
      </c>
      <c r="F890" s="71" t="s">
        <v>155</v>
      </c>
      <c r="G890" s="107" t="s">
        <v>156</v>
      </c>
      <c r="H890" s="153"/>
      <c r="I890" s="88">
        <f t="shared" si="115"/>
        <v>0</v>
      </c>
      <c r="J890" s="88">
        <f t="shared" si="115"/>
        <v>0</v>
      </c>
      <c r="K890" s="344">
        <f t="shared" si="112"/>
        <v>0</v>
      </c>
      <c r="L890" s="88">
        <f t="shared" si="115"/>
        <v>0</v>
      </c>
      <c r="M890" s="88">
        <f t="shared" si="115"/>
        <v>0</v>
      </c>
      <c r="N890" s="327"/>
      <c r="O890" s="327"/>
    </row>
    <row r="891" spans="1:13" s="355" customFormat="1" ht="28.5" customHeight="1" hidden="1">
      <c r="A891" s="136" t="s">
        <v>410</v>
      </c>
      <c r="B891" s="358">
        <v>118</v>
      </c>
      <c r="C891" s="107" t="s">
        <v>69</v>
      </c>
      <c r="D891" s="107" t="s">
        <v>442</v>
      </c>
      <c r="E891" s="107" t="s">
        <v>338</v>
      </c>
      <c r="F891" s="71" t="s">
        <v>153</v>
      </c>
      <c r="G891" s="107" t="s">
        <v>156</v>
      </c>
      <c r="H891" s="153"/>
      <c r="I891" s="88">
        <f t="shared" si="115"/>
        <v>0</v>
      </c>
      <c r="J891" s="88">
        <f t="shared" si="115"/>
        <v>0</v>
      </c>
      <c r="K891" s="344">
        <f t="shared" si="112"/>
        <v>0</v>
      </c>
      <c r="L891" s="88">
        <f t="shared" si="115"/>
        <v>0</v>
      </c>
      <c r="M891" s="88">
        <f t="shared" si="115"/>
        <v>0</v>
      </c>
    </row>
    <row r="892" spans="1:13" ht="25.5" customHeight="1" hidden="1">
      <c r="A892" s="373" t="s">
        <v>675</v>
      </c>
      <c r="B892" s="352">
        <v>118</v>
      </c>
      <c r="C892" s="112" t="s">
        <v>69</v>
      </c>
      <c r="D892" s="112" t="s">
        <v>442</v>
      </c>
      <c r="E892" s="112" t="s">
        <v>338</v>
      </c>
      <c r="F892" s="111" t="s">
        <v>153</v>
      </c>
      <c r="G892" s="112" t="s">
        <v>674</v>
      </c>
      <c r="H892" s="143"/>
      <c r="I892" s="353">
        <f t="shared" si="115"/>
        <v>0</v>
      </c>
      <c r="J892" s="353">
        <f t="shared" si="115"/>
        <v>0</v>
      </c>
      <c r="K892" s="348">
        <f t="shared" si="112"/>
        <v>0</v>
      </c>
      <c r="L892" s="353">
        <f t="shared" si="115"/>
        <v>0</v>
      </c>
      <c r="M892" s="353">
        <f t="shared" si="115"/>
        <v>0</v>
      </c>
    </row>
    <row r="893" spans="1:13" ht="29.25" customHeight="1" hidden="1">
      <c r="A893" s="123" t="s">
        <v>758</v>
      </c>
      <c r="B893" s="352">
        <v>118</v>
      </c>
      <c r="C893" s="112" t="s">
        <v>69</v>
      </c>
      <c r="D893" s="112" t="s">
        <v>442</v>
      </c>
      <c r="E893" s="112" t="s">
        <v>338</v>
      </c>
      <c r="F893" s="111" t="s">
        <v>153</v>
      </c>
      <c r="G893" s="112" t="s">
        <v>674</v>
      </c>
      <c r="H893" s="143">
        <v>200</v>
      </c>
      <c r="I893" s="143"/>
      <c r="J893" s="143"/>
      <c r="K893" s="348">
        <f t="shared" si="112"/>
        <v>0</v>
      </c>
      <c r="L893" s="78"/>
      <c r="M893" s="78"/>
    </row>
    <row r="894" spans="1:13" ht="36.75" customHeight="1">
      <c r="A894" s="155" t="s">
        <v>679</v>
      </c>
      <c r="B894" s="358">
        <v>118</v>
      </c>
      <c r="C894" s="107" t="s">
        <v>69</v>
      </c>
      <c r="D894" s="107" t="s">
        <v>666</v>
      </c>
      <c r="E894" s="107" t="s">
        <v>154</v>
      </c>
      <c r="F894" s="71" t="s">
        <v>155</v>
      </c>
      <c r="G894" s="107" t="s">
        <v>156</v>
      </c>
      <c r="H894" s="153"/>
      <c r="I894" s="88">
        <f aca="true" t="shared" si="116" ref="I894:M895">I895</f>
        <v>43537.2</v>
      </c>
      <c r="J894" s="88">
        <f t="shared" si="116"/>
        <v>63259.7</v>
      </c>
      <c r="K894" s="344">
        <f t="shared" si="112"/>
        <v>19722.5</v>
      </c>
      <c r="L894" s="88">
        <f t="shared" si="116"/>
        <v>17451</v>
      </c>
      <c r="M894" s="88">
        <f t="shared" si="116"/>
        <v>17048</v>
      </c>
    </row>
    <row r="895" spans="1:13" ht="36" customHeight="1">
      <c r="A895" s="155" t="s">
        <v>680</v>
      </c>
      <c r="B895" s="358">
        <v>118</v>
      </c>
      <c r="C895" s="107" t="s">
        <v>69</v>
      </c>
      <c r="D895" s="107" t="s">
        <v>666</v>
      </c>
      <c r="E895" s="107" t="s">
        <v>136</v>
      </c>
      <c r="F895" s="71" t="s">
        <v>155</v>
      </c>
      <c r="G895" s="107" t="s">
        <v>156</v>
      </c>
      <c r="H895" s="153"/>
      <c r="I895" s="88">
        <f t="shared" si="116"/>
        <v>43537.2</v>
      </c>
      <c r="J895" s="88">
        <f t="shared" si="116"/>
        <v>63259.7</v>
      </c>
      <c r="K895" s="344">
        <f t="shared" si="112"/>
        <v>19722.5</v>
      </c>
      <c r="L895" s="88">
        <f t="shared" si="116"/>
        <v>17451</v>
      </c>
      <c r="M895" s="88">
        <f t="shared" si="116"/>
        <v>17048</v>
      </c>
    </row>
    <row r="896" spans="1:13" s="355" customFormat="1" ht="48.75" customHeight="1">
      <c r="A896" s="155" t="s">
        <v>681</v>
      </c>
      <c r="B896" s="358">
        <v>118</v>
      </c>
      <c r="C896" s="107" t="s">
        <v>69</v>
      </c>
      <c r="D896" s="107" t="s">
        <v>666</v>
      </c>
      <c r="E896" s="107" t="s">
        <v>136</v>
      </c>
      <c r="F896" s="71" t="s">
        <v>153</v>
      </c>
      <c r="G896" s="107" t="s">
        <v>156</v>
      </c>
      <c r="H896" s="153"/>
      <c r="I896" s="88">
        <f>I897+I899+I901+I903+I905</f>
        <v>43537.2</v>
      </c>
      <c r="J896" s="88">
        <f>J897+J899+J901+J903+J905</f>
        <v>63259.7</v>
      </c>
      <c r="K896" s="344">
        <f t="shared" si="112"/>
        <v>19722.5</v>
      </c>
      <c r="L896" s="88">
        <f>L897+L899+L901+L903+L905</f>
        <v>17451</v>
      </c>
      <c r="M896" s="88">
        <f>M897+M899+M901+M903+M905</f>
        <v>17048</v>
      </c>
    </row>
    <row r="897" spans="1:13" ht="67.5" customHeight="1">
      <c r="A897" s="121" t="s">
        <v>676</v>
      </c>
      <c r="B897" s="352">
        <v>118</v>
      </c>
      <c r="C897" s="112" t="s">
        <v>69</v>
      </c>
      <c r="D897" s="112" t="s">
        <v>666</v>
      </c>
      <c r="E897" s="112" t="s">
        <v>136</v>
      </c>
      <c r="F897" s="111" t="s">
        <v>153</v>
      </c>
      <c r="G897" s="112" t="s">
        <v>667</v>
      </c>
      <c r="H897" s="143"/>
      <c r="I897" s="353">
        <f>I898</f>
        <v>1390.1</v>
      </c>
      <c r="J897" s="353">
        <f>J898</f>
        <v>21090.1</v>
      </c>
      <c r="K897" s="348">
        <f t="shared" si="112"/>
        <v>19700</v>
      </c>
      <c r="L897" s="353">
        <f>L898</f>
        <v>16951</v>
      </c>
      <c r="M897" s="353">
        <f>M898</f>
        <v>16548</v>
      </c>
    </row>
    <row r="898" spans="1:13" ht="33" customHeight="1">
      <c r="A898" s="123" t="s">
        <v>758</v>
      </c>
      <c r="B898" s="352">
        <v>118</v>
      </c>
      <c r="C898" s="112" t="s">
        <v>69</v>
      </c>
      <c r="D898" s="112" t="s">
        <v>666</v>
      </c>
      <c r="E898" s="112" t="s">
        <v>136</v>
      </c>
      <c r="F898" s="111" t="s">
        <v>153</v>
      </c>
      <c r="G898" s="112" t="s">
        <v>667</v>
      </c>
      <c r="H898" s="143">
        <v>200</v>
      </c>
      <c r="I898" s="353">
        <f>2299.1-909</f>
        <v>1390.1</v>
      </c>
      <c r="J898" s="353">
        <f>2299.1-909+19700</f>
        <v>21090.1</v>
      </c>
      <c r="K898" s="348">
        <f t="shared" si="112"/>
        <v>19700</v>
      </c>
      <c r="L898" s="78">
        <f>16042+909</f>
        <v>16951</v>
      </c>
      <c r="M898" s="78">
        <v>16548</v>
      </c>
    </row>
    <row r="899" spans="1:15" ht="80.25" customHeight="1">
      <c r="A899" s="373" t="s">
        <v>677</v>
      </c>
      <c r="B899" s="352">
        <v>118</v>
      </c>
      <c r="C899" s="112" t="s">
        <v>69</v>
      </c>
      <c r="D899" s="112" t="s">
        <v>666</v>
      </c>
      <c r="E899" s="112" t="s">
        <v>136</v>
      </c>
      <c r="F899" s="111" t="s">
        <v>153</v>
      </c>
      <c r="G899" s="112" t="s">
        <v>668</v>
      </c>
      <c r="H899" s="143"/>
      <c r="I899" s="353">
        <f>I900</f>
        <v>14522.3</v>
      </c>
      <c r="J899" s="353">
        <f>J900</f>
        <v>14522.3</v>
      </c>
      <c r="K899" s="348">
        <f t="shared" si="112"/>
        <v>0</v>
      </c>
      <c r="L899" s="353">
        <f>L900</f>
        <v>0</v>
      </c>
      <c r="M899" s="353">
        <f>M900</f>
        <v>0</v>
      </c>
      <c r="N899" s="355"/>
      <c r="O899" s="355"/>
    </row>
    <row r="900" spans="1:15" ht="33.75" customHeight="1">
      <c r="A900" s="123" t="s">
        <v>758</v>
      </c>
      <c r="B900" s="352">
        <v>118</v>
      </c>
      <c r="C900" s="112" t="s">
        <v>69</v>
      </c>
      <c r="D900" s="112" t="s">
        <v>666</v>
      </c>
      <c r="E900" s="112" t="s">
        <v>136</v>
      </c>
      <c r="F900" s="111" t="s">
        <v>153</v>
      </c>
      <c r="G900" s="112" t="s">
        <v>668</v>
      </c>
      <c r="H900" s="143">
        <v>200</v>
      </c>
      <c r="I900" s="353">
        <f>14771+909-1157.7</f>
        <v>14522.3</v>
      </c>
      <c r="J900" s="353">
        <f>14771+909-1157.7</f>
        <v>14522.3</v>
      </c>
      <c r="K900" s="348">
        <f t="shared" si="112"/>
        <v>0</v>
      </c>
      <c r="L900" s="78">
        <f>909-909</f>
        <v>0</v>
      </c>
      <c r="M900" s="78"/>
      <c r="N900" s="355"/>
      <c r="O900" s="355"/>
    </row>
    <row r="901" spans="1:15" s="355" customFormat="1" ht="95.25" customHeight="1">
      <c r="A901" s="373" t="s">
        <v>682</v>
      </c>
      <c r="B901" s="352">
        <v>118</v>
      </c>
      <c r="C901" s="112" t="s">
        <v>69</v>
      </c>
      <c r="D901" s="112" t="s">
        <v>666</v>
      </c>
      <c r="E901" s="112" t="s">
        <v>136</v>
      </c>
      <c r="F901" s="111" t="s">
        <v>153</v>
      </c>
      <c r="G901" s="112" t="s">
        <v>669</v>
      </c>
      <c r="H901" s="143"/>
      <c r="I901" s="353">
        <f>I902</f>
        <v>500</v>
      </c>
      <c r="J901" s="353">
        <f>J902</f>
        <v>500</v>
      </c>
      <c r="K901" s="348">
        <f t="shared" si="112"/>
        <v>0</v>
      </c>
      <c r="L901" s="353">
        <f>L902</f>
        <v>500</v>
      </c>
      <c r="M901" s="353">
        <f>M902</f>
        <v>500</v>
      </c>
      <c r="N901" s="327"/>
      <c r="O901" s="327"/>
    </row>
    <row r="902" spans="1:15" s="355" customFormat="1" ht="31.5" customHeight="1">
      <c r="A902" s="123" t="s">
        <v>758</v>
      </c>
      <c r="B902" s="352">
        <v>118</v>
      </c>
      <c r="C902" s="112" t="s">
        <v>69</v>
      </c>
      <c r="D902" s="112" t="s">
        <v>666</v>
      </c>
      <c r="E902" s="112" t="s">
        <v>136</v>
      </c>
      <c r="F902" s="111" t="s">
        <v>153</v>
      </c>
      <c r="G902" s="112" t="s">
        <v>669</v>
      </c>
      <c r="H902" s="143">
        <v>200</v>
      </c>
      <c r="I902" s="353">
        <v>500</v>
      </c>
      <c r="J902" s="353">
        <v>500</v>
      </c>
      <c r="K902" s="348">
        <f t="shared" si="112"/>
        <v>0</v>
      </c>
      <c r="L902" s="78">
        <v>500</v>
      </c>
      <c r="M902" s="78">
        <v>500</v>
      </c>
      <c r="N902" s="327"/>
      <c r="O902" s="327"/>
    </row>
    <row r="903" spans="1:13" ht="32.25" customHeight="1">
      <c r="A903" s="162" t="s">
        <v>678</v>
      </c>
      <c r="B903" s="352">
        <v>118</v>
      </c>
      <c r="C903" s="112" t="s">
        <v>69</v>
      </c>
      <c r="D903" s="112" t="s">
        <v>666</v>
      </c>
      <c r="E903" s="112" t="s">
        <v>136</v>
      </c>
      <c r="F903" s="111" t="s">
        <v>153</v>
      </c>
      <c r="G903" s="112" t="s">
        <v>670</v>
      </c>
      <c r="H903" s="143"/>
      <c r="I903" s="353">
        <f>I904</f>
        <v>3769</v>
      </c>
      <c r="J903" s="353">
        <f>J904</f>
        <v>3791.5</v>
      </c>
      <c r="K903" s="348">
        <f t="shared" si="112"/>
        <v>22.5</v>
      </c>
      <c r="L903" s="353">
        <f>L904</f>
        <v>0</v>
      </c>
      <c r="M903" s="353">
        <f>M904</f>
        <v>0</v>
      </c>
    </row>
    <row r="904" spans="1:15" ht="34.5" customHeight="1">
      <c r="A904" s="114" t="s">
        <v>758</v>
      </c>
      <c r="B904" s="352">
        <v>118</v>
      </c>
      <c r="C904" s="112" t="s">
        <v>69</v>
      </c>
      <c r="D904" s="112" t="s">
        <v>666</v>
      </c>
      <c r="E904" s="112" t="s">
        <v>136</v>
      </c>
      <c r="F904" s="111" t="s">
        <v>153</v>
      </c>
      <c r="G904" s="112" t="s">
        <v>670</v>
      </c>
      <c r="H904" s="143">
        <v>200</v>
      </c>
      <c r="I904" s="353">
        <f>174+2826.4+768.6</f>
        <v>3769</v>
      </c>
      <c r="J904" s="353">
        <f>174+2826.4+768.6+22.5</f>
        <v>3791.5</v>
      </c>
      <c r="K904" s="348">
        <f t="shared" si="112"/>
        <v>22.5</v>
      </c>
      <c r="L904" s="78"/>
      <c r="M904" s="78"/>
      <c r="N904" s="355"/>
      <c r="O904" s="355"/>
    </row>
    <row r="905" spans="1:15" ht="51.75" customHeight="1">
      <c r="A905" s="114" t="s">
        <v>854</v>
      </c>
      <c r="B905" s="352">
        <v>118</v>
      </c>
      <c r="C905" s="112" t="s">
        <v>69</v>
      </c>
      <c r="D905" s="112" t="s">
        <v>666</v>
      </c>
      <c r="E905" s="112" t="s">
        <v>136</v>
      </c>
      <c r="F905" s="111" t="s">
        <v>153</v>
      </c>
      <c r="G905" s="112" t="s">
        <v>856</v>
      </c>
      <c r="H905" s="143"/>
      <c r="I905" s="353">
        <f>I906</f>
        <v>23355.8</v>
      </c>
      <c r="J905" s="353">
        <f>J906</f>
        <v>23355.8</v>
      </c>
      <c r="K905" s="348">
        <f t="shared" si="112"/>
        <v>0</v>
      </c>
      <c r="L905" s="353">
        <f>L906</f>
        <v>0</v>
      </c>
      <c r="M905" s="353">
        <f>M906</f>
        <v>0</v>
      </c>
      <c r="N905" s="355"/>
      <c r="O905" s="355"/>
    </row>
    <row r="906" spans="1:15" ht="33.75" customHeight="1">
      <c r="A906" s="114" t="s">
        <v>758</v>
      </c>
      <c r="B906" s="352">
        <v>118</v>
      </c>
      <c r="C906" s="112" t="s">
        <v>69</v>
      </c>
      <c r="D906" s="112" t="s">
        <v>666</v>
      </c>
      <c r="E906" s="112" t="s">
        <v>136</v>
      </c>
      <c r="F906" s="111" t="s">
        <v>153</v>
      </c>
      <c r="G906" s="112" t="s">
        <v>856</v>
      </c>
      <c r="H906" s="143">
        <v>200</v>
      </c>
      <c r="I906" s="353">
        <f>1826+21140.7+389.1</f>
        <v>23355.8</v>
      </c>
      <c r="J906" s="353">
        <f>1826+21140.7+389.1</f>
        <v>23355.8</v>
      </c>
      <c r="K906" s="348">
        <f t="shared" si="112"/>
        <v>0</v>
      </c>
      <c r="L906" s="78"/>
      <c r="M906" s="78"/>
      <c r="N906" s="355"/>
      <c r="O906" s="355"/>
    </row>
    <row r="907" spans="1:13" ht="36.75" customHeight="1">
      <c r="A907" s="155" t="s">
        <v>683</v>
      </c>
      <c r="B907" s="358">
        <v>118</v>
      </c>
      <c r="C907" s="107" t="s">
        <v>69</v>
      </c>
      <c r="D907" s="107" t="s">
        <v>671</v>
      </c>
      <c r="E907" s="107" t="s">
        <v>154</v>
      </c>
      <c r="F907" s="71" t="s">
        <v>155</v>
      </c>
      <c r="G907" s="107" t="s">
        <v>156</v>
      </c>
      <c r="H907" s="153"/>
      <c r="I907" s="88">
        <f aca="true" t="shared" si="117" ref="I907:M908">I908</f>
        <v>1800</v>
      </c>
      <c r="J907" s="88">
        <f t="shared" si="117"/>
        <v>1800</v>
      </c>
      <c r="K907" s="344">
        <f t="shared" si="112"/>
        <v>0</v>
      </c>
      <c r="L907" s="88">
        <f t="shared" si="117"/>
        <v>0</v>
      </c>
      <c r="M907" s="88">
        <f t="shared" si="117"/>
        <v>0</v>
      </c>
    </row>
    <row r="908" spans="1:15" s="355" customFormat="1" ht="34.5" customHeight="1">
      <c r="A908" s="155" t="s">
        <v>684</v>
      </c>
      <c r="B908" s="358">
        <v>118</v>
      </c>
      <c r="C908" s="107" t="s">
        <v>69</v>
      </c>
      <c r="D908" s="107" t="s">
        <v>671</v>
      </c>
      <c r="E908" s="107" t="s">
        <v>139</v>
      </c>
      <c r="F908" s="71" t="s">
        <v>155</v>
      </c>
      <c r="G908" s="107" t="s">
        <v>156</v>
      </c>
      <c r="H908" s="153"/>
      <c r="I908" s="88">
        <f t="shared" si="117"/>
        <v>1800</v>
      </c>
      <c r="J908" s="88">
        <f t="shared" si="117"/>
        <v>1800</v>
      </c>
      <c r="K908" s="344">
        <f t="shared" si="112"/>
        <v>0</v>
      </c>
      <c r="L908" s="88">
        <f t="shared" si="117"/>
        <v>0</v>
      </c>
      <c r="M908" s="88">
        <f t="shared" si="117"/>
        <v>0</v>
      </c>
      <c r="N908" s="327"/>
      <c r="O908" s="327"/>
    </row>
    <row r="909" spans="1:13" s="355" customFormat="1" ht="32.25" customHeight="1">
      <c r="A909" s="109" t="s">
        <v>379</v>
      </c>
      <c r="B909" s="358">
        <v>118</v>
      </c>
      <c r="C909" s="107" t="s">
        <v>69</v>
      </c>
      <c r="D909" s="107" t="s">
        <v>671</v>
      </c>
      <c r="E909" s="107" t="s">
        <v>139</v>
      </c>
      <c r="F909" s="71" t="s">
        <v>153</v>
      </c>
      <c r="G909" s="107" t="s">
        <v>156</v>
      </c>
      <c r="H909" s="153"/>
      <c r="I909" s="88">
        <f>I910+I912+I914</f>
        <v>1800</v>
      </c>
      <c r="J909" s="88">
        <f>J910+J912+J914</f>
        <v>1800</v>
      </c>
      <c r="K909" s="344">
        <f t="shared" si="112"/>
        <v>0</v>
      </c>
      <c r="L909" s="88">
        <f>L910+L912+L914</f>
        <v>0</v>
      </c>
      <c r="M909" s="88">
        <f>M910+M912+M914</f>
        <v>0</v>
      </c>
    </row>
    <row r="910" spans="1:13" ht="34.5" customHeight="1" hidden="1">
      <c r="A910" s="119" t="s">
        <v>687</v>
      </c>
      <c r="B910" s="352">
        <v>118</v>
      </c>
      <c r="C910" s="112" t="s">
        <v>69</v>
      </c>
      <c r="D910" s="112" t="s">
        <v>671</v>
      </c>
      <c r="E910" s="112" t="s">
        <v>139</v>
      </c>
      <c r="F910" s="111" t="s">
        <v>153</v>
      </c>
      <c r="G910" s="112" t="s">
        <v>686</v>
      </c>
      <c r="H910" s="153"/>
      <c r="I910" s="353">
        <f>I911</f>
        <v>0</v>
      </c>
      <c r="J910" s="353">
        <f>J911</f>
        <v>0</v>
      </c>
      <c r="K910" s="348">
        <f t="shared" si="112"/>
        <v>0</v>
      </c>
      <c r="L910" s="353">
        <f>L911</f>
        <v>0</v>
      </c>
      <c r="M910" s="353">
        <f>M911</f>
        <v>0</v>
      </c>
    </row>
    <row r="911" spans="1:15" ht="32.25" customHeight="1" hidden="1">
      <c r="A911" s="114" t="s">
        <v>758</v>
      </c>
      <c r="B911" s="352">
        <v>118</v>
      </c>
      <c r="C911" s="112" t="s">
        <v>69</v>
      </c>
      <c r="D911" s="112" t="s">
        <v>671</v>
      </c>
      <c r="E911" s="112" t="s">
        <v>139</v>
      </c>
      <c r="F911" s="111" t="s">
        <v>153</v>
      </c>
      <c r="G911" s="112" t="s">
        <v>686</v>
      </c>
      <c r="H911" s="143">
        <v>200</v>
      </c>
      <c r="I911" s="353"/>
      <c r="J911" s="369"/>
      <c r="K911" s="348">
        <f t="shared" si="112"/>
        <v>0</v>
      </c>
      <c r="L911" s="78"/>
      <c r="M911" s="78"/>
      <c r="N911" s="355"/>
      <c r="O911" s="355"/>
    </row>
    <row r="912" spans="1:15" ht="51.75" customHeight="1" hidden="1">
      <c r="A912" s="121" t="s">
        <v>804</v>
      </c>
      <c r="B912" s="352">
        <v>118</v>
      </c>
      <c r="C912" s="112" t="s">
        <v>69</v>
      </c>
      <c r="D912" s="112" t="s">
        <v>671</v>
      </c>
      <c r="E912" s="112" t="s">
        <v>139</v>
      </c>
      <c r="F912" s="111" t="s">
        <v>153</v>
      </c>
      <c r="G912" s="112" t="s">
        <v>672</v>
      </c>
      <c r="H912" s="143"/>
      <c r="I912" s="353">
        <f>I913</f>
        <v>0</v>
      </c>
      <c r="J912" s="353">
        <f>J913</f>
        <v>0</v>
      </c>
      <c r="K912" s="348">
        <f t="shared" si="112"/>
        <v>0</v>
      </c>
      <c r="L912" s="353">
        <f>L913</f>
        <v>0</v>
      </c>
      <c r="M912" s="353">
        <f>M913</f>
        <v>0</v>
      </c>
      <c r="N912" s="355"/>
      <c r="O912" s="355"/>
    </row>
    <row r="913" spans="1:13" s="355" customFormat="1" ht="30" customHeight="1" hidden="1">
      <c r="A913" s="114" t="s">
        <v>758</v>
      </c>
      <c r="B913" s="352">
        <v>118</v>
      </c>
      <c r="C913" s="112" t="s">
        <v>69</v>
      </c>
      <c r="D913" s="112" t="s">
        <v>671</v>
      </c>
      <c r="E913" s="112" t="s">
        <v>139</v>
      </c>
      <c r="F913" s="111" t="s">
        <v>153</v>
      </c>
      <c r="G913" s="112" t="s">
        <v>672</v>
      </c>
      <c r="H913" s="143">
        <v>200</v>
      </c>
      <c r="I913" s="353"/>
      <c r="J913" s="353"/>
      <c r="K913" s="348">
        <f t="shared" si="112"/>
        <v>0</v>
      </c>
      <c r="L913" s="78"/>
      <c r="M913" s="78"/>
    </row>
    <row r="914" spans="1:13" s="355" customFormat="1" ht="66" customHeight="1">
      <c r="A914" s="121" t="s">
        <v>685</v>
      </c>
      <c r="B914" s="352">
        <v>118</v>
      </c>
      <c r="C914" s="112" t="s">
        <v>69</v>
      </c>
      <c r="D914" s="112" t="s">
        <v>671</v>
      </c>
      <c r="E914" s="112" t="s">
        <v>139</v>
      </c>
      <c r="F914" s="111" t="s">
        <v>153</v>
      </c>
      <c r="G914" s="112" t="s">
        <v>673</v>
      </c>
      <c r="H914" s="143"/>
      <c r="I914" s="353">
        <f>I915</f>
        <v>1800</v>
      </c>
      <c r="J914" s="353">
        <f>J915</f>
        <v>1800</v>
      </c>
      <c r="K914" s="348">
        <f t="shared" si="112"/>
        <v>0</v>
      </c>
      <c r="L914" s="353">
        <f>L915</f>
        <v>0</v>
      </c>
      <c r="M914" s="353">
        <f>M915</f>
        <v>0</v>
      </c>
    </row>
    <row r="915" spans="1:13" s="355" customFormat="1" ht="33.75" customHeight="1">
      <c r="A915" s="114" t="s">
        <v>758</v>
      </c>
      <c r="B915" s="352">
        <v>118</v>
      </c>
      <c r="C915" s="112" t="s">
        <v>69</v>
      </c>
      <c r="D915" s="112" t="s">
        <v>671</v>
      </c>
      <c r="E915" s="112" t="s">
        <v>139</v>
      </c>
      <c r="F915" s="111" t="s">
        <v>153</v>
      </c>
      <c r="G915" s="112" t="s">
        <v>673</v>
      </c>
      <c r="H915" s="143">
        <v>200</v>
      </c>
      <c r="I915" s="131">
        <v>1800</v>
      </c>
      <c r="J915" s="131">
        <v>1800</v>
      </c>
      <c r="K915" s="348">
        <f t="shared" si="112"/>
        <v>0</v>
      </c>
      <c r="L915" s="78"/>
      <c r="M915" s="78"/>
    </row>
    <row r="916" spans="1:13" s="355" customFormat="1" ht="19.5" customHeight="1">
      <c r="A916" s="128" t="s">
        <v>72</v>
      </c>
      <c r="B916" s="358">
        <v>118</v>
      </c>
      <c r="C916" s="107" t="s">
        <v>73</v>
      </c>
      <c r="D916" s="107"/>
      <c r="E916" s="107"/>
      <c r="F916" s="71"/>
      <c r="G916" s="107"/>
      <c r="H916" s="153"/>
      <c r="I916" s="133">
        <f aca="true" t="shared" si="118" ref="I916:J920">I917</f>
        <v>0</v>
      </c>
      <c r="J916" s="133">
        <f t="shared" si="118"/>
        <v>1580</v>
      </c>
      <c r="K916" s="344">
        <f t="shared" si="112"/>
        <v>1580</v>
      </c>
      <c r="L916" s="133">
        <f aca="true" t="shared" si="119" ref="L916:M920">L917</f>
        <v>0</v>
      </c>
      <c r="M916" s="133">
        <f t="shared" si="119"/>
        <v>0</v>
      </c>
    </row>
    <row r="917" spans="1:13" s="355" customFormat="1" ht="21.75" customHeight="1">
      <c r="A917" s="139" t="s">
        <v>441</v>
      </c>
      <c r="B917" s="358">
        <v>118</v>
      </c>
      <c r="C917" s="107" t="s">
        <v>73</v>
      </c>
      <c r="D917" s="107" t="s">
        <v>442</v>
      </c>
      <c r="E917" s="107" t="s">
        <v>154</v>
      </c>
      <c r="F917" s="71" t="s">
        <v>155</v>
      </c>
      <c r="G917" s="107" t="s">
        <v>156</v>
      </c>
      <c r="H917" s="153"/>
      <c r="I917" s="133">
        <f t="shared" si="118"/>
        <v>0</v>
      </c>
      <c r="J917" s="133">
        <f t="shared" si="118"/>
        <v>1580</v>
      </c>
      <c r="K917" s="344">
        <f t="shared" si="112"/>
        <v>1580</v>
      </c>
      <c r="L917" s="133">
        <f t="shared" si="119"/>
        <v>0</v>
      </c>
      <c r="M917" s="133">
        <f t="shared" si="119"/>
        <v>0</v>
      </c>
    </row>
    <row r="918" spans="1:13" s="355" customFormat="1" ht="21.75" customHeight="1">
      <c r="A918" s="136" t="s">
        <v>410</v>
      </c>
      <c r="B918" s="358">
        <v>118</v>
      </c>
      <c r="C918" s="107" t="s">
        <v>73</v>
      </c>
      <c r="D918" s="107" t="s">
        <v>442</v>
      </c>
      <c r="E918" s="107" t="s">
        <v>338</v>
      </c>
      <c r="F918" s="71" t="s">
        <v>155</v>
      </c>
      <c r="G918" s="107" t="s">
        <v>156</v>
      </c>
      <c r="H918" s="143"/>
      <c r="I918" s="133">
        <f t="shared" si="118"/>
        <v>0</v>
      </c>
      <c r="J918" s="133">
        <f t="shared" si="118"/>
        <v>1580</v>
      </c>
      <c r="K918" s="344">
        <f t="shared" si="112"/>
        <v>1580</v>
      </c>
      <c r="L918" s="133">
        <f t="shared" si="119"/>
        <v>0</v>
      </c>
      <c r="M918" s="133">
        <f t="shared" si="119"/>
        <v>0</v>
      </c>
    </row>
    <row r="919" spans="1:13" s="355" customFormat="1" ht="21.75" customHeight="1">
      <c r="A919" s="136" t="s">
        <v>410</v>
      </c>
      <c r="B919" s="358">
        <v>118</v>
      </c>
      <c r="C919" s="107" t="s">
        <v>73</v>
      </c>
      <c r="D919" s="107" t="s">
        <v>442</v>
      </c>
      <c r="E919" s="107" t="s">
        <v>338</v>
      </c>
      <c r="F919" s="71" t="s">
        <v>153</v>
      </c>
      <c r="G919" s="107" t="s">
        <v>156</v>
      </c>
      <c r="H919" s="143"/>
      <c r="I919" s="133">
        <f t="shared" si="118"/>
        <v>0</v>
      </c>
      <c r="J919" s="133">
        <f t="shared" si="118"/>
        <v>1580</v>
      </c>
      <c r="K919" s="344">
        <f t="shared" si="112"/>
        <v>1580</v>
      </c>
      <c r="L919" s="133">
        <f t="shared" si="119"/>
        <v>0</v>
      </c>
      <c r="M919" s="133">
        <f t="shared" si="119"/>
        <v>0</v>
      </c>
    </row>
    <row r="920" spans="1:13" s="355" customFormat="1" ht="129.75" customHeight="1">
      <c r="A920" s="114" t="s">
        <v>675</v>
      </c>
      <c r="B920" s="352">
        <v>118</v>
      </c>
      <c r="C920" s="112" t="s">
        <v>73</v>
      </c>
      <c r="D920" s="112" t="s">
        <v>442</v>
      </c>
      <c r="E920" s="112" t="s">
        <v>338</v>
      </c>
      <c r="F920" s="111" t="s">
        <v>153</v>
      </c>
      <c r="G920" s="112" t="s">
        <v>674</v>
      </c>
      <c r="H920" s="143"/>
      <c r="I920" s="131">
        <f t="shared" si="118"/>
        <v>0</v>
      </c>
      <c r="J920" s="131">
        <f t="shared" si="118"/>
        <v>1580</v>
      </c>
      <c r="K920" s="348">
        <f t="shared" si="112"/>
        <v>1580</v>
      </c>
      <c r="L920" s="131">
        <f t="shared" si="119"/>
        <v>0</v>
      </c>
      <c r="M920" s="131">
        <f t="shared" si="119"/>
        <v>0</v>
      </c>
    </row>
    <row r="921" spans="1:13" s="355" customFormat="1" ht="33.75" customHeight="1">
      <c r="A921" s="114" t="s">
        <v>771</v>
      </c>
      <c r="B921" s="352">
        <v>118</v>
      </c>
      <c r="C921" s="112" t="s">
        <v>73</v>
      </c>
      <c r="D921" s="112" t="s">
        <v>442</v>
      </c>
      <c r="E921" s="112" t="s">
        <v>338</v>
      </c>
      <c r="F921" s="111" t="s">
        <v>153</v>
      </c>
      <c r="G921" s="112" t="s">
        <v>674</v>
      </c>
      <c r="H921" s="143">
        <v>400</v>
      </c>
      <c r="I921" s="131"/>
      <c r="J921" s="131">
        <v>1580</v>
      </c>
      <c r="K921" s="348">
        <f t="shared" si="112"/>
        <v>1580</v>
      </c>
      <c r="L921" s="78"/>
      <c r="M921" s="78"/>
    </row>
    <row r="922" spans="1:13" s="355" customFormat="1" ht="21.75" customHeight="1">
      <c r="A922" s="139" t="s">
        <v>515</v>
      </c>
      <c r="B922" s="343">
        <v>118</v>
      </c>
      <c r="C922" s="107" t="s">
        <v>75</v>
      </c>
      <c r="D922" s="107"/>
      <c r="E922" s="107"/>
      <c r="F922" s="71"/>
      <c r="G922" s="107"/>
      <c r="H922" s="153"/>
      <c r="I922" s="88">
        <f>I923+I940</f>
        <v>65906.1</v>
      </c>
      <c r="J922" s="88">
        <f>J923+J940</f>
        <v>65906.1</v>
      </c>
      <c r="K922" s="344">
        <f t="shared" si="112"/>
        <v>0</v>
      </c>
      <c r="L922" s="88">
        <f>L923+L940</f>
        <v>18092.8</v>
      </c>
      <c r="M922" s="88">
        <f>M923+M940</f>
        <v>57212.3</v>
      </c>
    </row>
    <row r="923" spans="1:13" s="355" customFormat="1" ht="21" customHeight="1">
      <c r="A923" s="374" t="s">
        <v>78</v>
      </c>
      <c r="B923" s="358">
        <v>118</v>
      </c>
      <c r="C923" s="107" t="s">
        <v>79</v>
      </c>
      <c r="D923" s="107"/>
      <c r="E923" s="107"/>
      <c r="F923" s="71"/>
      <c r="G923" s="107"/>
      <c r="H923" s="153"/>
      <c r="I923" s="88">
        <f>I924+I931</f>
        <v>65406.1</v>
      </c>
      <c r="J923" s="88">
        <f>J924+J931</f>
        <v>65406.1</v>
      </c>
      <c r="K923" s="344">
        <f t="shared" si="112"/>
        <v>0</v>
      </c>
      <c r="L923" s="88">
        <f>L924+L931</f>
        <v>18092.8</v>
      </c>
      <c r="M923" s="88">
        <f>M924+M931</f>
        <v>57212.3</v>
      </c>
    </row>
    <row r="924" spans="1:13" s="355" customFormat="1" ht="21" customHeight="1" hidden="1">
      <c r="A924" s="139" t="s">
        <v>441</v>
      </c>
      <c r="B924" s="358">
        <v>118</v>
      </c>
      <c r="C924" s="107" t="s">
        <v>79</v>
      </c>
      <c r="D924" s="107" t="s">
        <v>442</v>
      </c>
      <c r="E924" s="107" t="s">
        <v>154</v>
      </c>
      <c r="F924" s="71" t="s">
        <v>155</v>
      </c>
      <c r="G924" s="107" t="s">
        <v>156</v>
      </c>
      <c r="H924" s="143"/>
      <c r="I924" s="88">
        <f aca="true" t="shared" si="120" ref="I924:M927">I925</f>
        <v>0</v>
      </c>
      <c r="J924" s="88">
        <f t="shared" si="120"/>
        <v>0</v>
      </c>
      <c r="K924" s="344">
        <f t="shared" si="112"/>
        <v>0</v>
      </c>
      <c r="L924" s="88">
        <f t="shared" si="120"/>
        <v>0</v>
      </c>
      <c r="M924" s="88">
        <f t="shared" si="120"/>
        <v>0</v>
      </c>
    </row>
    <row r="925" spans="1:13" s="355" customFormat="1" ht="17.25" customHeight="1" hidden="1">
      <c r="A925" s="136" t="s">
        <v>410</v>
      </c>
      <c r="B925" s="358">
        <v>118</v>
      </c>
      <c r="C925" s="107" t="s">
        <v>79</v>
      </c>
      <c r="D925" s="107" t="s">
        <v>442</v>
      </c>
      <c r="E925" s="107" t="s">
        <v>338</v>
      </c>
      <c r="F925" s="71" t="s">
        <v>155</v>
      </c>
      <c r="G925" s="107" t="s">
        <v>156</v>
      </c>
      <c r="H925" s="143"/>
      <c r="I925" s="88">
        <f t="shared" si="120"/>
        <v>0</v>
      </c>
      <c r="J925" s="88">
        <f t="shared" si="120"/>
        <v>0</v>
      </c>
      <c r="K925" s="344">
        <f t="shared" si="112"/>
        <v>0</v>
      </c>
      <c r="L925" s="88">
        <f t="shared" si="120"/>
        <v>0</v>
      </c>
      <c r="M925" s="88">
        <f t="shared" si="120"/>
        <v>0</v>
      </c>
    </row>
    <row r="926" spans="1:13" s="355" customFormat="1" ht="18" customHeight="1" hidden="1">
      <c r="A926" s="136" t="s">
        <v>410</v>
      </c>
      <c r="B926" s="358">
        <v>118</v>
      </c>
      <c r="C926" s="107" t="s">
        <v>79</v>
      </c>
      <c r="D926" s="107" t="s">
        <v>442</v>
      </c>
      <c r="E926" s="107" t="s">
        <v>338</v>
      </c>
      <c r="F926" s="71" t="s">
        <v>153</v>
      </c>
      <c r="G926" s="107" t="s">
        <v>156</v>
      </c>
      <c r="H926" s="153"/>
      <c r="I926" s="88">
        <f t="shared" si="120"/>
        <v>0</v>
      </c>
      <c r="J926" s="88">
        <f t="shared" si="120"/>
        <v>0</v>
      </c>
      <c r="K926" s="344">
        <f t="shared" si="112"/>
        <v>0</v>
      </c>
      <c r="L926" s="88">
        <f t="shared" si="120"/>
        <v>0</v>
      </c>
      <c r="M926" s="88">
        <f t="shared" si="120"/>
        <v>0</v>
      </c>
    </row>
    <row r="927" spans="1:15" s="355" customFormat="1" ht="18" customHeight="1" hidden="1">
      <c r="A927" s="127" t="s">
        <v>706</v>
      </c>
      <c r="B927" s="352">
        <v>118</v>
      </c>
      <c r="C927" s="112" t="s">
        <v>79</v>
      </c>
      <c r="D927" s="112" t="s">
        <v>442</v>
      </c>
      <c r="E927" s="112" t="s">
        <v>338</v>
      </c>
      <c r="F927" s="111" t="s">
        <v>153</v>
      </c>
      <c r="G927" s="112" t="s">
        <v>705</v>
      </c>
      <c r="H927" s="143"/>
      <c r="I927" s="353">
        <f t="shared" si="120"/>
        <v>0</v>
      </c>
      <c r="J927" s="353">
        <f t="shared" si="120"/>
        <v>0</v>
      </c>
      <c r="K927" s="348">
        <f t="shared" si="112"/>
        <v>0</v>
      </c>
      <c r="L927" s="353">
        <f t="shared" si="120"/>
        <v>0</v>
      </c>
      <c r="M927" s="353">
        <f t="shared" si="120"/>
        <v>0</v>
      </c>
      <c r="N927" s="327"/>
      <c r="O927" s="327"/>
    </row>
    <row r="928" spans="1:15" s="355" customFormat="1" ht="29.25" customHeight="1" hidden="1">
      <c r="A928" s="114" t="s">
        <v>758</v>
      </c>
      <c r="B928" s="352">
        <v>118</v>
      </c>
      <c r="C928" s="112" t="s">
        <v>79</v>
      </c>
      <c r="D928" s="112" t="s">
        <v>442</v>
      </c>
      <c r="E928" s="112" t="s">
        <v>338</v>
      </c>
      <c r="F928" s="111" t="s">
        <v>153</v>
      </c>
      <c r="G928" s="112" t="s">
        <v>705</v>
      </c>
      <c r="H928" s="143">
        <v>200</v>
      </c>
      <c r="I928" s="353"/>
      <c r="J928" s="353"/>
      <c r="K928" s="348">
        <f t="shared" si="112"/>
        <v>0</v>
      </c>
      <c r="L928" s="78"/>
      <c r="M928" s="78"/>
      <c r="N928" s="327"/>
      <c r="O928" s="327"/>
    </row>
    <row r="929" spans="1:13" ht="52.5" customHeight="1" hidden="1">
      <c r="A929" s="114" t="s">
        <v>696</v>
      </c>
      <c r="B929" s="352">
        <v>118</v>
      </c>
      <c r="C929" s="112" t="s">
        <v>79</v>
      </c>
      <c r="D929" s="112" t="s">
        <v>442</v>
      </c>
      <c r="E929" s="112" t="s">
        <v>338</v>
      </c>
      <c r="F929" s="111" t="s">
        <v>153</v>
      </c>
      <c r="G929" s="112" t="s">
        <v>697</v>
      </c>
      <c r="H929" s="143"/>
      <c r="I929" s="353">
        <f>I930</f>
        <v>0</v>
      </c>
      <c r="J929" s="353">
        <f>J930</f>
        <v>0</v>
      </c>
      <c r="K929" s="348">
        <f aca="true" t="shared" si="121" ref="K929:K1002">J929-I929</f>
        <v>0</v>
      </c>
      <c r="L929" s="353">
        <f>L930</f>
        <v>0</v>
      </c>
      <c r="M929" s="353">
        <f>M930</f>
        <v>0</v>
      </c>
    </row>
    <row r="930" spans="1:13" ht="30" customHeight="1" hidden="1">
      <c r="A930" s="114" t="s">
        <v>758</v>
      </c>
      <c r="B930" s="352">
        <v>118</v>
      </c>
      <c r="C930" s="112" t="s">
        <v>79</v>
      </c>
      <c r="D930" s="112" t="s">
        <v>442</v>
      </c>
      <c r="E930" s="112" t="s">
        <v>338</v>
      </c>
      <c r="F930" s="111" t="s">
        <v>153</v>
      </c>
      <c r="G930" s="112" t="s">
        <v>697</v>
      </c>
      <c r="H930" s="143">
        <v>200</v>
      </c>
      <c r="I930" s="353"/>
      <c r="J930" s="353"/>
      <c r="K930" s="348">
        <f t="shared" si="121"/>
        <v>0</v>
      </c>
      <c r="L930" s="78"/>
      <c r="M930" s="78"/>
    </row>
    <row r="931" spans="1:13" ht="66" customHeight="1">
      <c r="A931" s="155" t="s">
        <v>688</v>
      </c>
      <c r="B931" s="358">
        <v>118</v>
      </c>
      <c r="C931" s="107" t="s">
        <v>79</v>
      </c>
      <c r="D931" s="107" t="s">
        <v>700</v>
      </c>
      <c r="E931" s="107" t="s">
        <v>154</v>
      </c>
      <c r="F931" s="71" t="s">
        <v>155</v>
      </c>
      <c r="G931" s="107" t="s">
        <v>156</v>
      </c>
      <c r="H931" s="153"/>
      <c r="I931" s="88">
        <f aca="true" t="shared" si="122" ref="I931:M932">I932</f>
        <v>65406.1</v>
      </c>
      <c r="J931" s="88">
        <f t="shared" si="122"/>
        <v>65406.1</v>
      </c>
      <c r="K931" s="344">
        <f t="shared" si="121"/>
        <v>0</v>
      </c>
      <c r="L931" s="88">
        <f t="shared" si="122"/>
        <v>18092.8</v>
      </c>
      <c r="M931" s="88">
        <f t="shared" si="122"/>
        <v>57212.3</v>
      </c>
    </row>
    <row r="932" spans="1:13" ht="21" customHeight="1">
      <c r="A932" s="152" t="s">
        <v>689</v>
      </c>
      <c r="B932" s="358">
        <v>118</v>
      </c>
      <c r="C932" s="107" t="s">
        <v>79</v>
      </c>
      <c r="D932" s="107" t="s">
        <v>700</v>
      </c>
      <c r="E932" s="107" t="s">
        <v>137</v>
      </c>
      <c r="F932" s="71" t="s">
        <v>155</v>
      </c>
      <c r="G932" s="107" t="s">
        <v>156</v>
      </c>
      <c r="H932" s="153"/>
      <c r="I932" s="88">
        <f t="shared" si="122"/>
        <v>65406.1</v>
      </c>
      <c r="J932" s="88">
        <f t="shared" si="122"/>
        <v>65406.1</v>
      </c>
      <c r="K932" s="344">
        <f t="shared" si="121"/>
        <v>0</v>
      </c>
      <c r="L932" s="88">
        <f t="shared" si="122"/>
        <v>18092.8</v>
      </c>
      <c r="M932" s="88">
        <f t="shared" si="122"/>
        <v>57212.3</v>
      </c>
    </row>
    <row r="933" spans="1:13" s="355" customFormat="1" ht="48" customHeight="1">
      <c r="A933" s="152" t="s">
        <v>690</v>
      </c>
      <c r="B933" s="358">
        <v>118</v>
      </c>
      <c r="C933" s="107" t="s">
        <v>79</v>
      </c>
      <c r="D933" s="107" t="s">
        <v>700</v>
      </c>
      <c r="E933" s="107" t="s">
        <v>137</v>
      </c>
      <c r="F933" s="71" t="s">
        <v>153</v>
      </c>
      <c r="G933" s="107" t="s">
        <v>156</v>
      </c>
      <c r="H933" s="153"/>
      <c r="I933" s="88">
        <f>I934+I936+I938</f>
        <v>65406.1</v>
      </c>
      <c r="J933" s="88">
        <f>J934+J936+J938</f>
        <v>65406.1</v>
      </c>
      <c r="K933" s="344">
        <f t="shared" si="121"/>
        <v>0</v>
      </c>
      <c r="L933" s="88">
        <f>L934+L936+L938</f>
        <v>18092.8</v>
      </c>
      <c r="M933" s="88">
        <f>M934+M936+M938</f>
        <v>57212.3</v>
      </c>
    </row>
    <row r="934" spans="1:13" ht="54.75" customHeight="1" hidden="1">
      <c r="A934" s="114" t="s">
        <v>691</v>
      </c>
      <c r="B934" s="352">
        <v>118</v>
      </c>
      <c r="C934" s="112" t="s">
        <v>79</v>
      </c>
      <c r="D934" s="112" t="s">
        <v>700</v>
      </c>
      <c r="E934" s="112" t="s">
        <v>137</v>
      </c>
      <c r="F934" s="111" t="s">
        <v>153</v>
      </c>
      <c r="G934" s="112" t="s">
        <v>692</v>
      </c>
      <c r="H934" s="143"/>
      <c r="I934" s="353">
        <f>I935</f>
        <v>0</v>
      </c>
      <c r="J934" s="353">
        <f>J935</f>
        <v>0</v>
      </c>
      <c r="K934" s="348">
        <f t="shared" si="121"/>
        <v>0</v>
      </c>
      <c r="L934" s="353">
        <f>L935</f>
        <v>0</v>
      </c>
      <c r="M934" s="353">
        <f>M935</f>
        <v>0</v>
      </c>
    </row>
    <row r="935" spans="1:13" ht="31.5" customHeight="1" hidden="1">
      <c r="A935" s="372" t="s">
        <v>769</v>
      </c>
      <c r="B935" s="352">
        <v>118</v>
      </c>
      <c r="C935" s="112" t="s">
        <v>79</v>
      </c>
      <c r="D935" s="112" t="s">
        <v>700</v>
      </c>
      <c r="E935" s="112" t="s">
        <v>137</v>
      </c>
      <c r="F935" s="111" t="s">
        <v>153</v>
      </c>
      <c r="G935" s="112" t="s">
        <v>692</v>
      </c>
      <c r="H935" s="143">
        <v>400</v>
      </c>
      <c r="I935" s="131"/>
      <c r="J935" s="131"/>
      <c r="K935" s="348">
        <f t="shared" si="121"/>
        <v>0</v>
      </c>
      <c r="L935" s="78"/>
      <c r="M935" s="78"/>
    </row>
    <row r="936" spans="1:13" ht="84.75" customHeight="1">
      <c r="A936" s="114" t="s">
        <v>693</v>
      </c>
      <c r="B936" s="352">
        <v>118</v>
      </c>
      <c r="C936" s="112" t="s">
        <v>79</v>
      </c>
      <c r="D936" s="112" t="s">
        <v>700</v>
      </c>
      <c r="E936" s="112" t="s">
        <v>137</v>
      </c>
      <c r="F936" s="111" t="s">
        <v>153</v>
      </c>
      <c r="G936" s="112" t="s">
        <v>694</v>
      </c>
      <c r="H936" s="143"/>
      <c r="I936" s="353">
        <f>I937</f>
        <v>126</v>
      </c>
      <c r="J936" s="353">
        <f>J937</f>
        <v>126</v>
      </c>
      <c r="K936" s="348">
        <f t="shared" si="121"/>
        <v>0</v>
      </c>
      <c r="L936" s="353">
        <f>L937</f>
        <v>0</v>
      </c>
      <c r="M936" s="353">
        <f>M937</f>
        <v>0</v>
      </c>
    </row>
    <row r="937" spans="1:13" ht="33" customHeight="1">
      <c r="A937" s="114" t="s">
        <v>771</v>
      </c>
      <c r="B937" s="352">
        <v>118</v>
      </c>
      <c r="C937" s="112" t="s">
        <v>79</v>
      </c>
      <c r="D937" s="112" t="s">
        <v>700</v>
      </c>
      <c r="E937" s="112" t="s">
        <v>137</v>
      </c>
      <c r="F937" s="111" t="s">
        <v>153</v>
      </c>
      <c r="G937" s="112" t="s">
        <v>694</v>
      </c>
      <c r="H937" s="143">
        <v>400</v>
      </c>
      <c r="I937" s="353">
        <v>126</v>
      </c>
      <c r="J937" s="353">
        <v>126</v>
      </c>
      <c r="K937" s="348">
        <f t="shared" si="121"/>
        <v>0</v>
      </c>
      <c r="L937" s="78"/>
      <c r="M937" s="78"/>
    </row>
    <row r="938" spans="1:13" ht="45.75" customHeight="1">
      <c r="A938" s="154" t="s">
        <v>691</v>
      </c>
      <c r="B938" s="352">
        <v>118</v>
      </c>
      <c r="C938" s="112" t="s">
        <v>79</v>
      </c>
      <c r="D938" s="112" t="s">
        <v>700</v>
      </c>
      <c r="E938" s="112" t="s">
        <v>137</v>
      </c>
      <c r="F938" s="111" t="s">
        <v>153</v>
      </c>
      <c r="G938" s="112" t="s">
        <v>695</v>
      </c>
      <c r="H938" s="143"/>
      <c r="I938" s="353">
        <f>I939</f>
        <v>65280.1</v>
      </c>
      <c r="J938" s="353">
        <f>J939</f>
        <v>65280.1</v>
      </c>
      <c r="K938" s="348">
        <f t="shared" si="121"/>
        <v>0</v>
      </c>
      <c r="L938" s="353">
        <f>L939</f>
        <v>18092.8</v>
      </c>
      <c r="M938" s="353">
        <f>M939</f>
        <v>57212.3</v>
      </c>
    </row>
    <row r="939" spans="1:13" ht="34.5" customHeight="1">
      <c r="A939" s="114" t="s">
        <v>771</v>
      </c>
      <c r="B939" s="352">
        <v>118</v>
      </c>
      <c r="C939" s="112" t="s">
        <v>79</v>
      </c>
      <c r="D939" s="112" t="s">
        <v>700</v>
      </c>
      <c r="E939" s="112" t="s">
        <v>137</v>
      </c>
      <c r="F939" s="111" t="s">
        <v>153</v>
      </c>
      <c r="G939" s="112" t="s">
        <v>695</v>
      </c>
      <c r="H939" s="143">
        <v>400</v>
      </c>
      <c r="I939" s="353">
        <f>4429+58094.4+2882.7-899+773</f>
        <v>65280.1</v>
      </c>
      <c r="J939" s="353">
        <f>4429+58094.4+2882.7-899+773</f>
        <v>65280.1</v>
      </c>
      <c r="K939" s="348">
        <f t="shared" si="121"/>
        <v>0</v>
      </c>
      <c r="L939" s="78">
        <f>1451+16641.8</f>
        <v>18092.8</v>
      </c>
      <c r="M939" s="78">
        <f>3252+53960.3</f>
        <v>57212.3</v>
      </c>
    </row>
    <row r="940" spans="1:15" ht="18.75" customHeight="1">
      <c r="A940" s="374" t="s">
        <v>80</v>
      </c>
      <c r="B940" s="358">
        <v>118</v>
      </c>
      <c r="C940" s="107" t="s">
        <v>81</v>
      </c>
      <c r="D940" s="107"/>
      <c r="E940" s="107"/>
      <c r="F940" s="71"/>
      <c r="G940" s="107"/>
      <c r="H940" s="143"/>
      <c r="I940" s="88">
        <f aca="true" t="shared" si="123" ref="I940:M942">I941</f>
        <v>500</v>
      </c>
      <c r="J940" s="88">
        <f t="shared" si="123"/>
        <v>500</v>
      </c>
      <c r="K940" s="344">
        <f t="shared" si="121"/>
        <v>0</v>
      </c>
      <c r="L940" s="88">
        <f t="shared" si="123"/>
        <v>0</v>
      </c>
      <c r="M940" s="88">
        <f t="shared" si="123"/>
        <v>0</v>
      </c>
      <c r="N940" s="346"/>
      <c r="O940" s="346"/>
    </row>
    <row r="941" spans="1:15" ht="18" customHeight="1">
      <c r="A941" s="139" t="s">
        <v>441</v>
      </c>
      <c r="B941" s="358">
        <v>118</v>
      </c>
      <c r="C941" s="107" t="s">
        <v>81</v>
      </c>
      <c r="D941" s="107" t="s">
        <v>442</v>
      </c>
      <c r="E941" s="107" t="s">
        <v>154</v>
      </c>
      <c r="F941" s="71" t="s">
        <v>155</v>
      </c>
      <c r="G941" s="107" t="s">
        <v>156</v>
      </c>
      <c r="H941" s="143"/>
      <c r="I941" s="88">
        <f t="shared" si="123"/>
        <v>500</v>
      </c>
      <c r="J941" s="88">
        <f t="shared" si="123"/>
        <v>500</v>
      </c>
      <c r="K941" s="344">
        <f t="shared" si="121"/>
        <v>0</v>
      </c>
      <c r="L941" s="88">
        <f t="shared" si="123"/>
        <v>0</v>
      </c>
      <c r="M941" s="88">
        <f t="shared" si="123"/>
        <v>0</v>
      </c>
      <c r="N941" s="346"/>
      <c r="O941" s="346"/>
    </row>
    <row r="942" spans="1:13" s="346" customFormat="1" ht="20.25" customHeight="1">
      <c r="A942" s="136" t="s">
        <v>410</v>
      </c>
      <c r="B942" s="358">
        <v>118</v>
      </c>
      <c r="C942" s="107" t="s">
        <v>81</v>
      </c>
      <c r="D942" s="107" t="s">
        <v>442</v>
      </c>
      <c r="E942" s="107" t="s">
        <v>338</v>
      </c>
      <c r="F942" s="71" t="s">
        <v>155</v>
      </c>
      <c r="G942" s="107" t="s">
        <v>156</v>
      </c>
      <c r="H942" s="143"/>
      <c r="I942" s="88">
        <f t="shared" si="123"/>
        <v>500</v>
      </c>
      <c r="J942" s="88">
        <f t="shared" si="123"/>
        <v>500</v>
      </c>
      <c r="K942" s="344">
        <f t="shared" si="121"/>
        <v>0</v>
      </c>
      <c r="L942" s="88">
        <f t="shared" si="123"/>
        <v>0</v>
      </c>
      <c r="M942" s="88">
        <f t="shared" si="123"/>
        <v>0</v>
      </c>
    </row>
    <row r="943" spans="1:13" s="345" customFormat="1" ht="18" customHeight="1">
      <c r="A943" s="136" t="s">
        <v>410</v>
      </c>
      <c r="B943" s="358">
        <v>118</v>
      </c>
      <c r="C943" s="107" t="s">
        <v>81</v>
      </c>
      <c r="D943" s="107" t="s">
        <v>442</v>
      </c>
      <c r="E943" s="107" t="s">
        <v>338</v>
      </c>
      <c r="F943" s="71" t="s">
        <v>153</v>
      </c>
      <c r="G943" s="107" t="s">
        <v>156</v>
      </c>
      <c r="H943" s="153"/>
      <c r="I943" s="88">
        <f>I944+I946</f>
        <v>500</v>
      </c>
      <c r="J943" s="88">
        <f>J944+J946</f>
        <v>500</v>
      </c>
      <c r="K943" s="344">
        <f t="shared" si="121"/>
        <v>0</v>
      </c>
      <c r="L943" s="88">
        <f>L944+L946</f>
        <v>0</v>
      </c>
      <c r="M943" s="88">
        <f>M944+M946</f>
        <v>0</v>
      </c>
    </row>
    <row r="944" spans="1:13" s="346" customFormat="1" ht="51" customHeight="1">
      <c r="A944" s="114" t="s">
        <v>698</v>
      </c>
      <c r="B944" s="352">
        <v>118</v>
      </c>
      <c r="C944" s="112" t="s">
        <v>81</v>
      </c>
      <c r="D944" s="112" t="s">
        <v>442</v>
      </c>
      <c r="E944" s="112" t="s">
        <v>338</v>
      </c>
      <c r="F944" s="111" t="s">
        <v>153</v>
      </c>
      <c r="G944" s="112" t="s">
        <v>699</v>
      </c>
      <c r="H944" s="143"/>
      <c r="I944" s="353">
        <f>I945</f>
        <v>500</v>
      </c>
      <c r="J944" s="353">
        <f>J945</f>
        <v>500</v>
      </c>
      <c r="K944" s="348">
        <f t="shared" si="121"/>
        <v>0</v>
      </c>
      <c r="L944" s="353">
        <f>L945</f>
        <v>0</v>
      </c>
      <c r="M944" s="353">
        <f>M945</f>
        <v>0</v>
      </c>
    </row>
    <row r="945" spans="1:13" s="346" customFormat="1" ht="32.25" customHeight="1">
      <c r="A945" s="114" t="s">
        <v>758</v>
      </c>
      <c r="B945" s="352">
        <v>118</v>
      </c>
      <c r="C945" s="112" t="s">
        <v>81</v>
      </c>
      <c r="D945" s="112" t="s">
        <v>442</v>
      </c>
      <c r="E945" s="112" t="s">
        <v>338</v>
      </c>
      <c r="F945" s="111" t="s">
        <v>153</v>
      </c>
      <c r="G945" s="112" t="s">
        <v>699</v>
      </c>
      <c r="H945" s="143">
        <v>200</v>
      </c>
      <c r="I945" s="353">
        <v>500</v>
      </c>
      <c r="J945" s="353">
        <v>500</v>
      </c>
      <c r="K945" s="348">
        <f t="shared" si="121"/>
        <v>0</v>
      </c>
      <c r="L945" s="78"/>
      <c r="M945" s="78"/>
    </row>
    <row r="946" spans="1:13" s="346" customFormat="1" ht="109.5" customHeight="1" hidden="1">
      <c r="A946" s="114" t="s">
        <v>682</v>
      </c>
      <c r="B946" s="352">
        <v>118</v>
      </c>
      <c r="C946" s="112" t="s">
        <v>81</v>
      </c>
      <c r="D946" s="112" t="s">
        <v>442</v>
      </c>
      <c r="E946" s="112" t="s">
        <v>338</v>
      </c>
      <c r="F946" s="111" t="s">
        <v>153</v>
      </c>
      <c r="G946" s="112" t="s">
        <v>669</v>
      </c>
      <c r="H946" s="143"/>
      <c r="I946" s="353">
        <f>I947</f>
        <v>0</v>
      </c>
      <c r="J946" s="353">
        <f>J947</f>
        <v>0</v>
      </c>
      <c r="K946" s="348">
        <f t="shared" si="121"/>
        <v>0</v>
      </c>
      <c r="L946" s="353">
        <f>L947</f>
        <v>0</v>
      </c>
      <c r="M946" s="353">
        <f>M947</f>
        <v>0</v>
      </c>
    </row>
    <row r="947" spans="1:13" s="346" customFormat="1" ht="31.5" customHeight="1" hidden="1">
      <c r="A947" s="114" t="s">
        <v>758</v>
      </c>
      <c r="B947" s="352">
        <v>118</v>
      </c>
      <c r="C947" s="112" t="s">
        <v>81</v>
      </c>
      <c r="D947" s="112" t="s">
        <v>442</v>
      </c>
      <c r="E947" s="112" t="s">
        <v>338</v>
      </c>
      <c r="F947" s="111" t="s">
        <v>153</v>
      </c>
      <c r="G947" s="112" t="s">
        <v>669</v>
      </c>
      <c r="H947" s="143">
        <v>200</v>
      </c>
      <c r="I947" s="353"/>
      <c r="J947" s="353"/>
      <c r="K947" s="348">
        <f t="shared" si="121"/>
        <v>0</v>
      </c>
      <c r="L947" s="78"/>
      <c r="M947" s="78"/>
    </row>
    <row r="948" spans="1:13" s="345" customFormat="1" ht="20.25" customHeight="1">
      <c r="A948" s="263" t="s">
        <v>118</v>
      </c>
      <c r="B948" s="358">
        <v>118</v>
      </c>
      <c r="C948" s="107" t="s">
        <v>119</v>
      </c>
      <c r="D948" s="107"/>
      <c r="E948" s="107"/>
      <c r="F948" s="71"/>
      <c r="G948" s="107"/>
      <c r="H948" s="153"/>
      <c r="I948" s="88">
        <f>I949</f>
        <v>6000</v>
      </c>
      <c r="J948" s="88">
        <f>J949</f>
        <v>6000</v>
      </c>
      <c r="K948" s="344">
        <f t="shared" si="121"/>
        <v>0</v>
      </c>
      <c r="L948" s="88">
        <f>L949</f>
        <v>13717.3</v>
      </c>
      <c r="M948" s="88">
        <f>M949</f>
        <v>14293.5</v>
      </c>
    </row>
    <row r="949" spans="1:13" s="346" customFormat="1" ht="20.25" customHeight="1">
      <c r="A949" s="128" t="s">
        <v>122</v>
      </c>
      <c r="B949" s="358">
        <v>118</v>
      </c>
      <c r="C949" s="107" t="s">
        <v>123</v>
      </c>
      <c r="D949" s="107"/>
      <c r="E949" s="107"/>
      <c r="F949" s="71"/>
      <c r="G949" s="107"/>
      <c r="H949" s="153"/>
      <c r="I949" s="88">
        <f aca="true" t="shared" si="124" ref="I949:M953">I950</f>
        <v>6000</v>
      </c>
      <c r="J949" s="88">
        <f t="shared" si="124"/>
        <v>6000</v>
      </c>
      <c r="K949" s="344">
        <f t="shared" si="121"/>
        <v>0</v>
      </c>
      <c r="L949" s="88">
        <f t="shared" si="124"/>
        <v>13717.3</v>
      </c>
      <c r="M949" s="88">
        <f t="shared" si="124"/>
        <v>14293.5</v>
      </c>
    </row>
    <row r="950" spans="1:13" s="346" customFormat="1" ht="51" customHeight="1">
      <c r="A950" s="128" t="s">
        <v>214</v>
      </c>
      <c r="B950" s="358">
        <v>118</v>
      </c>
      <c r="C950" s="107" t="s">
        <v>123</v>
      </c>
      <c r="D950" s="107" t="s">
        <v>215</v>
      </c>
      <c r="E950" s="107" t="s">
        <v>154</v>
      </c>
      <c r="F950" s="71" t="s">
        <v>155</v>
      </c>
      <c r="G950" s="107" t="s">
        <v>156</v>
      </c>
      <c r="H950" s="153"/>
      <c r="I950" s="88">
        <f t="shared" si="124"/>
        <v>6000</v>
      </c>
      <c r="J950" s="88">
        <f t="shared" si="124"/>
        <v>6000</v>
      </c>
      <c r="K950" s="344">
        <f t="shared" si="121"/>
        <v>0</v>
      </c>
      <c r="L950" s="88">
        <f t="shared" si="124"/>
        <v>13717.3</v>
      </c>
      <c r="M950" s="88">
        <f t="shared" si="124"/>
        <v>14293.5</v>
      </c>
    </row>
    <row r="951" spans="1:13" s="345" customFormat="1" ht="35.25" customHeight="1">
      <c r="A951" s="128" t="s">
        <v>230</v>
      </c>
      <c r="B951" s="358">
        <v>118</v>
      </c>
      <c r="C951" s="107" t="s">
        <v>123</v>
      </c>
      <c r="D951" s="107" t="s">
        <v>215</v>
      </c>
      <c r="E951" s="107" t="s">
        <v>140</v>
      </c>
      <c r="F951" s="71" t="s">
        <v>155</v>
      </c>
      <c r="G951" s="107" t="s">
        <v>156</v>
      </c>
      <c r="H951" s="153"/>
      <c r="I951" s="88">
        <f t="shared" si="124"/>
        <v>6000</v>
      </c>
      <c r="J951" s="88">
        <f t="shared" si="124"/>
        <v>6000</v>
      </c>
      <c r="K951" s="344">
        <f t="shared" si="121"/>
        <v>0</v>
      </c>
      <c r="L951" s="88">
        <f t="shared" si="124"/>
        <v>13717.3</v>
      </c>
      <c r="M951" s="88">
        <f t="shared" si="124"/>
        <v>14293.5</v>
      </c>
    </row>
    <row r="952" spans="1:13" s="345" customFormat="1" ht="48" customHeight="1">
      <c r="A952" s="128" t="s">
        <v>897</v>
      </c>
      <c r="B952" s="358">
        <v>118</v>
      </c>
      <c r="C952" s="107" t="s">
        <v>123</v>
      </c>
      <c r="D952" s="107" t="s">
        <v>215</v>
      </c>
      <c r="E952" s="107" t="s">
        <v>140</v>
      </c>
      <c r="F952" s="71" t="s">
        <v>153</v>
      </c>
      <c r="G952" s="107" t="s">
        <v>156</v>
      </c>
      <c r="H952" s="153"/>
      <c r="I952" s="88">
        <f t="shared" si="124"/>
        <v>6000</v>
      </c>
      <c r="J952" s="88">
        <f t="shared" si="124"/>
        <v>6000</v>
      </c>
      <c r="K952" s="344">
        <f t="shared" si="121"/>
        <v>0</v>
      </c>
      <c r="L952" s="88">
        <f t="shared" si="124"/>
        <v>13717.3</v>
      </c>
      <c r="M952" s="88">
        <f t="shared" si="124"/>
        <v>14293.5</v>
      </c>
    </row>
    <row r="953" spans="1:13" s="346" customFormat="1" ht="21.75" customHeight="1">
      <c r="A953" s="114" t="s">
        <v>382</v>
      </c>
      <c r="B953" s="352">
        <v>118</v>
      </c>
      <c r="C953" s="112" t="s">
        <v>123</v>
      </c>
      <c r="D953" s="112" t="s">
        <v>215</v>
      </c>
      <c r="E953" s="112" t="s">
        <v>140</v>
      </c>
      <c r="F953" s="111" t="s">
        <v>153</v>
      </c>
      <c r="G953" s="112" t="s">
        <v>383</v>
      </c>
      <c r="H953" s="143"/>
      <c r="I953" s="353">
        <f t="shared" si="124"/>
        <v>6000</v>
      </c>
      <c r="J953" s="353">
        <f t="shared" si="124"/>
        <v>6000</v>
      </c>
      <c r="K953" s="348">
        <f t="shared" si="121"/>
        <v>0</v>
      </c>
      <c r="L953" s="353">
        <f t="shared" si="124"/>
        <v>13717.3</v>
      </c>
      <c r="M953" s="353">
        <f t="shared" si="124"/>
        <v>14293.5</v>
      </c>
    </row>
    <row r="954" spans="1:13" s="346" customFormat="1" ht="32.25" customHeight="1">
      <c r="A954" s="114" t="s">
        <v>771</v>
      </c>
      <c r="B954" s="352">
        <v>118</v>
      </c>
      <c r="C954" s="112" t="s">
        <v>123</v>
      </c>
      <c r="D954" s="112" t="s">
        <v>215</v>
      </c>
      <c r="E954" s="112" t="s">
        <v>140</v>
      </c>
      <c r="F954" s="111" t="s">
        <v>153</v>
      </c>
      <c r="G954" s="112" t="s">
        <v>383</v>
      </c>
      <c r="H954" s="143">
        <v>400</v>
      </c>
      <c r="I954" s="353">
        <v>6000</v>
      </c>
      <c r="J954" s="353">
        <v>6000</v>
      </c>
      <c r="K954" s="348">
        <f t="shared" si="121"/>
        <v>0</v>
      </c>
      <c r="L954" s="78">
        <v>13717.3</v>
      </c>
      <c r="M954" s="78">
        <v>14293.5</v>
      </c>
    </row>
    <row r="955" spans="1:13" s="346" customFormat="1" ht="46.5" customHeight="1">
      <c r="A955" s="139" t="s">
        <v>520</v>
      </c>
      <c r="B955" s="343" t="s">
        <v>36</v>
      </c>
      <c r="C955" s="107"/>
      <c r="D955" s="71"/>
      <c r="E955" s="71"/>
      <c r="F955" s="71"/>
      <c r="G955" s="71"/>
      <c r="H955" s="71"/>
      <c r="I955" s="37">
        <f>I956+I963+I1141+I1154</f>
        <v>1717037.9999999998</v>
      </c>
      <c r="J955" s="37">
        <f>J956+J963+J1141+J1154</f>
        <v>1732240.9</v>
      </c>
      <c r="K955" s="344">
        <f t="shared" si="121"/>
        <v>15202.90000000014</v>
      </c>
      <c r="L955" s="37">
        <f>L956+L963+L1141+L1154</f>
        <v>1852966</v>
      </c>
      <c r="M955" s="37">
        <f>M956+M963+M1141+M1154</f>
        <v>2119781.0999999996</v>
      </c>
    </row>
    <row r="956" spans="1:13" s="346" customFormat="1" ht="18.75" customHeight="1">
      <c r="A956" s="139" t="s">
        <v>84</v>
      </c>
      <c r="B956" s="343" t="s">
        <v>36</v>
      </c>
      <c r="C956" s="107" t="s">
        <v>85</v>
      </c>
      <c r="D956" s="71"/>
      <c r="E956" s="71"/>
      <c r="F956" s="71"/>
      <c r="G956" s="71"/>
      <c r="H956" s="71"/>
      <c r="I956" s="37">
        <f aca="true" t="shared" si="125" ref="I956:M961">I957</f>
        <v>297</v>
      </c>
      <c r="J956" s="37">
        <f t="shared" si="125"/>
        <v>297</v>
      </c>
      <c r="K956" s="344">
        <f t="shared" si="121"/>
        <v>0</v>
      </c>
      <c r="L956" s="37">
        <f t="shared" si="125"/>
        <v>304</v>
      </c>
      <c r="M956" s="37">
        <f t="shared" si="125"/>
        <v>305</v>
      </c>
    </row>
    <row r="957" spans="1:13" s="346" customFormat="1" ht="18.75" customHeight="1">
      <c r="A957" s="139" t="s">
        <v>86</v>
      </c>
      <c r="B957" s="343" t="s">
        <v>36</v>
      </c>
      <c r="C957" s="107" t="s">
        <v>87</v>
      </c>
      <c r="D957" s="71"/>
      <c r="E957" s="71"/>
      <c r="F957" s="71"/>
      <c r="G957" s="71"/>
      <c r="H957" s="71"/>
      <c r="I957" s="37">
        <f t="shared" si="125"/>
        <v>297</v>
      </c>
      <c r="J957" s="37">
        <f t="shared" si="125"/>
        <v>297</v>
      </c>
      <c r="K957" s="344">
        <f t="shared" si="121"/>
        <v>0</v>
      </c>
      <c r="L957" s="37">
        <f t="shared" si="125"/>
        <v>304</v>
      </c>
      <c r="M957" s="37">
        <f t="shared" si="125"/>
        <v>305</v>
      </c>
    </row>
    <row r="958" spans="1:15" s="346" customFormat="1" ht="45.75" customHeight="1">
      <c r="A958" s="139" t="s">
        <v>918</v>
      </c>
      <c r="B958" s="343" t="s">
        <v>36</v>
      </c>
      <c r="C958" s="107" t="s">
        <v>87</v>
      </c>
      <c r="D958" s="71" t="s">
        <v>354</v>
      </c>
      <c r="E958" s="71" t="s">
        <v>154</v>
      </c>
      <c r="F958" s="71" t="s">
        <v>155</v>
      </c>
      <c r="G958" s="71" t="s">
        <v>156</v>
      </c>
      <c r="H958" s="71"/>
      <c r="I958" s="37">
        <f t="shared" si="125"/>
        <v>297</v>
      </c>
      <c r="J958" s="37">
        <f t="shared" si="125"/>
        <v>297</v>
      </c>
      <c r="K958" s="344">
        <f t="shared" si="121"/>
        <v>0</v>
      </c>
      <c r="L958" s="37">
        <f t="shared" si="125"/>
        <v>304</v>
      </c>
      <c r="M958" s="37">
        <f t="shared" si="125"/>
        <v>305</v>
      </c>
      <c r="N958" s="345"/>
      <c r="O958" s="345"/>
    </row>
    <row r="959" spans="1:15" s="346" customFormat="1" ht="33.75" customHeight="1">
      <c r="A959" s="128" t="s">
        <v>923</v>
      </c>
      <c r="B959" s="343" t="s">
        <v>36</v>
      </c>
      <c r="C959" s="107" t="s">
        <v>87</v>
      </c>
      <c r="D959" s="71" t="s">
        <v>354</v>
      </c>
      <c r="E959" s="71" t="s">
        <v>140</v>
      </c>
      <c r="F959" s="71" t="s">
        <v>155</v>
      </c>
      <c r="G959" s="71" t="s">
        <v>156</v>
      </c>
      <c r="H959" s="71"/>
      <c r="I959" s="37">
        <f t="shared" si="125"/>
        <v>297</v>
      </c>
      <c r="J959" s="37">
        <f t="shared" si="125"/>
        <v>297</v>
      </c>
      <c r="K959" s="344">
        <f t="shared" si="121"/>
        <v>0</v>
      </c>
      <c r="L959" s="37">
        <f t="shared" si="125"/>
        <v>304</v>
      </c>
      <c r="M959" s="37">
        <f t="shared" si="125"/>
        <v>305</v>
      </c>
      <c r="N959" s="345"/>
      <c r="O959" s="345"/>
    </row>
    <row r="960" spans="1:13" s="345" customFormat="1" ht="48.75" customHeight="1">
      <c r="A960" s="128" t="s">
        <v>294</v>
      </c>
      <c r="B960" s="343" t="s">
        <v>36</v>
      </c>
      <c r="C960" s="107" t="s">
        <v>87</v>
      </c>
      <c r="D960" s="71" t="s">
        <v>354</v>
      </c>
      <c r="E960" s="71" t="s">
        <v>140</v>
      </c>
      <c r="F960" s="71" t="s">
        <v>153</v>
      </c>
      <c r="G960" s="71" t="s">
        <v>156</v>
      </c>
      <c r="H960" s="71"/>
      <c r="I960" s="37">
        <f t="shared" si="125"/>
        <v>297</v>
      </c>
      <c r="J960" s="37">
        <f t="shared" si="125"/>
        <v>297</v>
      </c>
      <c r="K960" s="344">
        <f t="shared" si="121"/>
        <v>0</v>
      </c>
      <c r="L960" s="37">
        <f t="shared" si="125"/>
        <v>304</v>
      </c>
      <c r="M960" s="37">
        <f t="shared" si="125"/>
        <v>305</v>
      </c>
    </row>
    <row r="961" spans="1:15" s="345" customFormat="1" ht="33" customHeight="1">
      <c r="A961" s="121" t="s">
        <v>924</v>
      </c>
      <c r="B961" s="347" t="s">
        <v>36</v>
      </c>
      <c r="C961" s="112" t="s">
        <v>87</v>
      </c>
      <c r="D961" s="111" t="s">
        <v>354</v>
      </c>
      <c r="E961" s="111" t="s">
        <v>140</v>
      </c>
      <c r="F961" s="111" t="s">
        <v>153</v>
      </c>
      <c r="G961" s="111" t="s">
        <v>295</v>
      </c>
      <c r="H961" s="111"/>
      <c r="I961" s="78">
        <f t="shared" si="125"/>
        <v>297</v>
      </c>
      <c r="J961" s="78">
        <f t="shared" si="125"/>
        <v>297</v>
      </c>
      <c r="K961" s="348">
        <f t="shared" si="121"/>
        <v>0</v>
      </c>
      <c r="L961" s="78">
        <f t="shared" si="125"/>
        <v>304</v>
      </c>
      <c r="M961" s="78">
        <f t="shared" si="125"/>
        <v>305</v>
      </c>
      <c r="N961" s="346"/>
      <c r="O961" s="346"/>
    </row>
    <row r="962" spans="1:15" s="346" customFormat="1" ht="30.75" customHeight="1">
      <c r="A962" s="123" t="s">
        <v>763</v>
      </c>
      <c r="B962" s="347" t="s">
        <v>36</v>
      </c>
      <c r="C962" s="112" t="s">
        <v>87</v>
      </c>
      <c r="D962" s="111" t="s">
        <v>354</v>
      </c>
      <c r="E962" s="111" t="s">
        <v>140</v>
      </c>
      <c r="F962" s="111" t="s">
        <v>153</v>
      </c>
      <c r="G962" s="111" t="s">
        <v>295</v>
      </c>
      <c r="H962" s="111" t="s">
        <v>764</v>
      </c>
      <c r="I962" s="78">
        <v>297</v>
      </c>
      <c r="J962" s="78">
        <v>297</v>
      </c>
      <c r="K962" s="348">
        <f t="shared" si="121"/>
        <v>0</v>
      </c>
      <c r="L962" s="78">
        <v>304</v>
      </c>
      <c r="M962" s="78">
        <v>305</v>
      </c>
      <c r="N962" s="327"/>
      <c r="O962" s="327"/>
    </row>
    <row r="963" spans="1:15" s="346" customFormat="1" ht="18" customHeight="1">
      <c r="A963" s="139" t="s">
        <v>494</v>
      </c>
      <c r="B963" s="343" t="s">
        <v>36</v>
      </c>
      <c r="C963" s="107" t="s">
        <v>89</v>
      </c>
      <c r="D963" s="71"/>
      <c r="E963" s="71"/>
      <c r="F963" s="71"/>
      <c r="G963" s="71"/>
      <c r="H963" s="71"/>
      <c r="I963" s="37">
        <f>I964+I998+I1052+I1077+I1083+I1097</f>
        <v>1652769.9999999998</v>
      </c>
      <c r="J963" s="37">
        <f>J964+J998+J1052+J1077+J1083+J1097</f>
        <v>1667972.9</v>
      </c>
      <c r="K963" s="344">
        <f t="shared" si="121"/>
        <v>15202.90000000014</v>
      </c>
      <c r="L963" s="37">
        <f>L964+L998+L1052+L1077+L1083+L1097</f>
        <v>1788691</v>
      </c>
      <c r="M963" s="37">
        <f>M964+M998+M1052+M1077+M1083+M1097</f>
        <v>2055505.0999999999</v>
      </c>
      <c r="N963" s="327"/>
      <c r="O963" s="327"/>
    </row>
    <row r="964" spans="1:15" ht="19.5" customHeight="1">
      <c r="A964" s="139" t="s">
        <v>90</v>
      </c>
      <c r="B964" s="343" t="s">
        <v>36</v>
      </c>
      <c r="C964" s="107" t="s">
        <v>91</v>
      </c>
      <c r="D964" s="71"/>
      <c r="E964" s="71"/>
      <c r="F964" s="71"/>
      <c r="G964" s="71"/>
      <c r="H964" s="71"/>
      <c r="I964" s="37">
        <f>I965+I991</f>
        <v>686594.4</v>
      </c>
      <c r="J964" s="37">
        <f>J965+J991</f>
        <v>691868.5</v>
      </c>
      <c r="K964" s="344">
        <f t="shared" si="121"/>
        <v>5274.099999999977</v>
      </c>
      <c r="L964" s="37">
        <f>L965+L991</f>
        <v>635381.2</v>
      </c>
      <c r="M964" s="37">
        <f>M965+M991</f>
        <v>639395.2</v>
      </c>
      <c r="N964" s="355"/>
      <c r="O964" s="355"/>
    </row>
    <row r="965" spans="1:15" ht="33" customHeight="1">
      <c r="A965" s="139" t="s">
        <v>231</v>
      </c>
      <c r="B965" s="343" t="s">
        <v>36</v>
      </c>
      <c r="C965" s="107" t="s">
        <v>91</v>
      </c>
      <c r="D965" s="71" t="s">
        <v>232</v>
      </c>
      <c r="E965" s="71" t="s">
        <v>154</v>
      </c>
      <c r="F965" s="71" t="s">
        <v>155</v>
      </c>
      <c r="G965" s="71" t="s">
        <v>156</v>
      </c>
      <c r="H965" s="71"/>
      <c r="I965" s="37">
        <f>I966</f>
        <v>686339.4</v>
      </c>
      <c r="J965" s="37">
        <f>J966</f>
        <v>691613.5</v>
      </c>
      <c r="K965" s="344">
        <f t="shared" si="121"/>
        <v>5274.099999999977</v>
      </c>
      <c r="L965" s="37">
        <f>L966</f>
        <v>635381.2</v>
      </c>
      <c r="M965" s="37">
        <f>M966</f>
        <v>639395.2</v>
      </c>
      <c r="N965" s="355"/>
      <c r="O965" s="355"/>
    </row>
    <row r="966" spans="1:13" s="355" customFormat="1" ht="34.5" customHeight="1">
      <c r="A966" s="136" t="s">
        <v>143</v>
      </c>
      <c r="B966" s="343" t="s">
        <v>36</v>
      </c>
      <c r="C966" s="107" t="s">
        <v>91</v>
      </c>
      <c r="D966" s="71" t="s">
        <v>232</v>
      </c>
      <c r="E966" s="71" t="s">
        <v>136</v>
      </c>
      <c r="F966" s="71" t="s">
        <v>155</v>
      </c>
      <c r="G966" s="71" t="s">
        <v>156</v>
      </c>
      <c r="H966" s="71"/>
      <c r="I966" s="37">
        <f>I967+I974</f>
        <v>686339.4</v>
      </c>
      <c r="J966" s="37">
        <f>J967+J974</f>
        <v>691613.5</v>
      </c>
      <c r="K966" s="344">
        <f t="shared" si="121"/>
        <v>5274.099999999977</v>
      </c>
      <c r="L966" s="37">
        <f>L967+L974</f>
        <v>635381.2</v>
      </c>
      <c r="M966" s="37">
        <f>M967+M974</f>
        <v>639395.2</v>
      </c>
    </row>
    <row r="967" spans="1:13" s="355" customFormat="1" ht="35.25" customHeight="1">
      <c r="A967" s="137" t="s">
        <v>233</v>
      </c>
      <c r="B967" s="343" t="s">
        <v>36</v>
      </c>
      <c r="C967" s="107" t="s">
        <v>91</v>
      </c>
      <c r="D967" s="107" t="s">
        <v>232</v>
      </c>
      <c r="E967" s="107" t="s">
        <v>136</v>
      </c>
      <c r="F967" s="71" t="s">
        <v>153</v>
      </c>
      <c r="G967" s="71" t="s">
        <v>156</v>
      </c>
      <c r="H967" s="71"/>
      <c r="I967" s="37">
        <f>I968+I970+I972</f>
        <v>661263.4</v>
      </c>
      <c r="J967" s="37">
        <f>J968+J970+J972</f>
        <v>661263.4</v>
      </c>
      <c r="K967" s="344">
        <f t="shared" si="121"/>
        <v>0</v>
      </c>
      <c r="L967" s="37">
        <f>L968+L970+L972</f>
        <v>629948.7</v>
      </c>
      <c r="M967" s="37">
        <f>M968+M970+M972</f>
        <v>633462.7</v>
      </c>
    </row>
    <row r="968" spans="1:13" s="355" customFormat="1" ht="33.75" customHeight="1">
      <c r="A968" s="123" t="s">
        <v>511</v>
      </c>
      <c r="B968" s="347" t="s">
        <v>36</v>
      </c>
      <c r="C968" s="112" t="s">
        <v>91</v>
      </c>
      <c r="D968" s="112" t="s">
        <v>232</v>
      </c>
      <c r="E968" s="112" t="s">
        <v>136</v>
      </c>
      <c r="F968" s="111" t="s">
        <v>153</v>
      </c>
      <c r="G968" s="112" t="s">
        <v>201</v>
      </c>
      <c r="H968" s="129"/>
      <c r="I968" s="78">
        <f>I969</f>
        <v>153200.80000000002</v>
      </c>
      <c r="J968" s="78">
        <f>J969</f>
        <v>153200.80000000002</v>
      </c>
      <c r="K968" s="348">
        <f t="shared" si="121"/>
        <v>0</v>
      </c>
      <c r="L968" s="78">
        <f>L969</f>
        <v>152030</v>
      </c>
      <c r="M968" s="78">
        <f>M969</f>
        <v>155544</v>
      </c>
    </row>
    <row r="969" spans="1:13" s="355" customFormat="1" ht="33.75" customHeight="1">
      <c r="A969" s="123" t="s">
        <v>763</v>
      </c>
      <c r="B969" s="347" t="s">
        <v>36</v>
      </c>
      <c r="C969" s="112" t="s">
        <v>91</v>
      </c>
      <c r="D969" s="112" t="s">
        <v>232</v>
      </c>
      <c r="E969" s="112" t="s">
        <v>136</v>
      </c>
      <c r="F969" s="111" t="s">
        <v>153</v>
      </c>
      <c r="G969" s="112" t="s">
        <v>201</v>
      </c>
      <c r="H969" s="129">
        <v>600</v>
      </c>
      <c r="I969" s="78">
        <f>150389.1+2811.7</f>
        <v>153200.80000000002</v>
      </c>
      <c r="J969" s="78">
        <f>150389.1+2811.7</f>
        <v>153200.80000000002</v>
      </c>
      <c r="K969" s="348">
        <f t="shared" si="121"/>
        <v>0</v>
      </c>
      <c r="L969" s="78">
        <v>152030</v>
      </c>
      <c r="M969" s="78">
        <v>155544</v>
      </c>
    </row>
    <row r="970" spans="1:13" s="355" customFormat="1" ht="114" customHeight="1">
      <c r="A970" s="123" t="s">
        <v>13</v>
      </c>
      <c r="B970" s="347" t="s">
        <v>36</v>
      </c>
      <c r="C970" s="112" t="s">
        <v>91</v>
      </c>
      <c r="D970" s="112" t="s">
        <v>232</v>
      </c>
      <c r="E970" s="112" t="s">
        <v>136</v>
      </c>
      <c r="F970" s="111" t="s">
        <v>153</v>
      </c>
      <c r="G970" s="112" t="s">
        <v>235</v>
      </c>
      <c r="H970" s="111" t="s">
        <v>236</v>
      </c>
      <c r="I970" s="78">
        <f>I971</f>
        <v>508062.60000000003</v>
      </c>
      <c r="J970" s="78">
        <f>J971</f>
        <v>508062.60000000003</v>
      </c>
      <c r="K970" s="348">
        <f t="shared" si="121"/>
        <v>0</v>
      </c>
      <c r="L970" s="78">
        <f>L971</f>
        <v>477918.7</v>
      </c>
      <c r="M970" s="78">
        <f>M971</f>
        <v>477918.7</v>
      </c>
    </row>
    <row r="971" spans="1:15" s="355" customFormat="1" ht="35.25" customHeight="1">
      <c r="A971" s="123" t="s">
        <v>763</v>
      </c>
      <c r="B971" s="347" t="s">
        <v>36</v>
      </c>
      <c r="C971" s="112" t="s">
        <v>91</v>
      </c>
      <c r="D971" s="112" t="s">
        <v>232</v>
      </c>
      <c r="E971" s="112" t="s">
        <v>136</v>
      </c>
      <c r="F971" s="111" t="s">
        <v>153</v>
      </c>
      <c r="G971" s="112" t="s">
        <v>235</v>
      </c>
      <c r="H971" s="111" t="s">
        <v>764</v>
      </c>
      <c r="I971" s="78">
        <f>477918.7+30143.9</f>
        <v>508062.60000000003</v>
      </c>
      <c r="J971" s="78">
        <f>477918.7+30143.9</f>
        <v>508062.60000000003</v>
      </c>
      <c r="K971" s="348">
        <f t="shared" si="121"/>
        <v>0</v>
      </c>
      <c r="L971" s="78">
        <v>477918.7</v>
      </c>
      <c r="M971" s="78">
        <v>477918.7</v>
      </c>
      <c r="N971" s="327"/>
      <c r="O971" s="327"/>
    </row>
    <row r="972" spans="1:15" s="355" customFormat="1" ht="22.5" customHeight="1" hidden="1">
      <c r="A972" s="123" t="s">
        <v>237</v>
      </c>
      <c r="B972" s="347" t="s">
        <v>36</v>
      </c>
      <c r="C972" s="112" t="s">
        <v>91</v>
      </c>
      <c r="D972" s="112" t="s">
        <v>232</v>
      </c>
      <c r="E972" s="112" t="s">
        <v>136</v>
      </c>
      <c r="F972" s="111" t="s">
        <v>153</v>
      </c>
      <c r="G972" s="112" t="s">
        <v>238</v>
      </c>
      <c r="H972" s="111"/>
      <c r="I972" s="78">
        <f>I973</f>
        <v>0</v>
      </c>
      <c r="J972" s="78">
        <f>J973</f>
        <v>0</v>
      </c>
      <c r="K972" s="348">
        <f t="shared" si="121"/>
        <v>0</v>
      </c>
      <c r="L972" s="78">
        <f>L973</f>
        <v>0</v>
      </c>
      <c r="M972" s="78">
        <f>M973</f>
        <v>0</v>
      </c>
      <c r="N972" s="327"/>
      <c r="O972" s="327"/>
    </row>
    <row r="973" spans="1:13" ht="21" customHeight="1" hidden="1">
      <c r="A973" s="123" t="s">
        <v>763</v>
      </c>
      <c r="B973" s="347" t="s">
        <v>36</v>
      </c>
      <c r="C973" s="112" t="s">
        <v>91</v>
      </c>
      <c r="D973" s="112" t="s">
        <v>232</v>
      </c>
      <c r="E973" s="112" t="s">
        <v>136</v>
      </c>
      <c r="F973" s="111" t="s">
        <v>153</v>
      </c>
      <c r="G973" s="112" t="s">
        <v>238</v>
      </c>
      <c r="H973" s="111" t="s">
        <v>764</v>
      </c>
      <c r="I973" s="78"/>
      <c r="J973" s="331"/>
      <c r="K973" s="348">
        <f t="shared" si="121"/>
        <v>0</v>
      </c>
      <c r="L973" s="78"/>
      <c r="M973" s="78"/>
    </row>
    <row r="974" spans="1:13" s="355" customFormat="1" ht="33.75" customHeight="1">
      <c r="A974" s="137" t="s">
        <v>243</v>
      </c>
      <c r="B974" s="343" t="s">
        <v>36</v>
      </c>
      <c r="C974" s="107" t="s">
        <v>91</v>
      </c>
      <c r="D974" s="107" t="s">
        <v>232</v>
      </c>
      <c r="E974" s="107" t="s">
        <v>136</v>
      </c>
      <c r="F974" s="107" t="s">
        <v>166</v>
      </c>
      <c r="G974" s="107" t="s">
        <v>156</v>
      </c>
      <c r="H974" s="105"/>
      <c r="I974" s="37">
        <f>I975+I977+I979+I983+I985+I987+I981</f>
        <v>25076.000000000004</v>
      </c>
      <c r="J974" s="37">
        <f>J975+J977+J979+J983+J985+J987+J981</f>
        <v>30350.1</v>
      </c>
      <c r="K974" s="344">
        <f t="shared" si="121"/>
        <v>5274.099999999995</v>
      </c>
      <c r="L974" s="37">
        <f>L975+L977+L979+L983+L985+L987+L981</f>
        <v>5432.5</v>
      </c>
      <c r="M974" s="37">
        <f>M975+M977+M979+M983+M985+M987+M981</f>
        <v>5932.5</v>
      </c>
    </row>
    <row r="975" spans="1:13" s="355" customFormat="1" ht="19.5" customHeight="1">
      <c r="A975" s="127" t="s">
        <v>244</v>
      </c>
      <c r="B975" s="347" t="s">
        <v>36</v>
      </c>
      <c r="C975" s="112" t="s">
        <v>91</v>
      </c>
      <c r="D975" s="112" t="s">
        <v>232</v>
      </c>
      <c r="E975" s="112" t="s">
        <v>136</v>
      </c>
      <c r="F975" s="112" t="s">
        <v>166</v>
      </c>
      <c r="G975" s="112" t="s">
        <v>209</v>
      </c>
      <c r="H975" s="129"/>
      <c r="I975" s="78">
        <f>I976</f>
        <v>16618.2</v>
      </c>
      <c r="J975" s="78">
        <f>J976</f>
        <v>19862.3</v>
      </c>
      <c r="K975" s="348">
        <f t="shared" si="121"/>
        <v>3244.0999999999985</v>
      </c>
      <c r="L975" s="78">
        <f>L976</f>
        <v>0</v>
      </c>
      <c r="M975" s="78">
        <f>M976</f>
        <v>0</v>
      </c>
    </row>
    <row r="976" spans="1:13" s="355" customFormat="1" ht="31.5" customHeight="1">
      <c r="A976" s="123" t="s">
        <v>763</v>
      </c>
      <c r="B976" s="347" t="s">
        <v>36</v>
      </c>
      <c r="C976" s="112" t="s">
        <v>91</v>
      </c>
      <c r="D976" s="112" t="s">
        <v>232</v>
      </c>
      <c r="E976" s="112" t="s">
        <v>136</v>
      </c>
      <c r="F976" s="112" t="s">
        <v>166</v>
      </c>
      <c r="G976" s="112" t="s">
        <v>209</v>
      </c>
      <c r="H976" s="129">
        <v>600</v>
      </c>
      <c r="I976" s="78">
        <f>2700+5686+8232.2</f>
        <v>16618.2</v>
      </c>
      <c r="J976" s="78">
        <f>2700+5686+8232.2+3244.1</f>
        <v>19862.3</v>
      </c>
      <c r="K976" s="348">
        <f t="shared" si="121"/>
        <v>3244.0999999999985</v>
      </c>
      <c r="L976" s="78"/>
      <c r="M976" s="78"/>
    </row>
    <row r="977" spans="1:13" s="355" customFormat="1" ht="31.5" customHeight="1">
      <c r="A977" s="123" t="s">
        <v>245</v>
      </c>
      <c r="B977" s="347" t="s">
        <v>36</v>
      </c>
      <c r="C977" s="112" t="s">
        <v>91</v>
      </c>
      <c r="D977" s="112" t="s">
        <v>232</v>
      </c>
      <c r="E977" s="112" t="s">
        <v>136</v>
      </c>
      <c r="F977" s="112" t="s">
        <v>166</v>
      </c>
      <c r="G977" s="112" t="s">
        <v>246</v>
      </c>
      <c r="H977" s="111"/>
      <c r="I977" s="78">
        <f>I978</f>
        <v>280</v>
      </c>
      <c r="J977" s="78">
        <f>J978</f>
        <v>280</v>
      </c>
      <c r="K977" s="348">
        <f t="shared" si="121"/>
        <v>0</v>
      </c>
      <c r="L977" s="78">
        <f>L978</f>
        <v>1500</v>
      </c>
      <c r="M977" s="78">
        <f>M978</f>
        <v>1600</v>
      </c>
    </row>
    <row r="978" spans="1:13" s="355" customFormat="1" ht="30.75" customHeight="1">
      <c r="A978" s="121" t="s">
        <v>763</v>
      </c>
      <c r="B978" s="347" t="s">
        <v>36</v>
      </c>
      <c r="C978" s="112" t="s">
        <v>91</v>
      </c>
      <c r="D978" s="112" t="s">
        <v>232</v>
      </c>
      <c r="E978" s="112" t="s">
        <v>136</v>
      </c>
      <c r="F978" s="112" t="s">
        <v>166</v>
      </c>
      <c r="G978" s="112" t="s">
        <v>246</v>
      </c>
      <c r="H978" s="111" t="s">
        <v>764</v>
      </c>
      <c r="I978" s="78">
        <f>500-20-200</f>
        <v>280</v>
      </c>
      <c r="J978" s="78">
        <f>500-20-200</f>
        <v>280</v>
      </c>
      <c r="K978" s="348">
        <f t="shared" si="121"/>
        <v>0</v>
      </c>
      <c r="L978" s="78">
        <v>1500</v>
      </c>
      <c r="M978" s="78">
        <v>1600</v>
      </c>
    </row>
    <row r="979" spans="1:13" s="355" customFormat="1" ht="20.25" customHeight="1">
      <c r="A979" s="114" t="s">
        <v>1092</v>
      </c>
      <c r="B979" s="347" t="s">
        <v>36</v>
      </c>
      <c r="C979" s="112" t="s">
        <v>91</v>
      </c>
      <c r="D979" s="112" t="s">
        <v>232</v>
      </c>
      <c r="E979" s="112" t="s">
        <v>136</v>
      </c>
      <c r="F979" s="112" t="s">
        <v>166</v>
      </c>
      <c r="G979" s="112" t="s">
        <v>247</v>
      </c>
      <c r="H979" s="111"/>
      <c r="I979" s="78">
        <f>I980</f>
        <v>3099.4</v>
      </c>
      <c r="J979" s="78">
        <f>J980</f>
        <v>5129.4</v>
      </c>
      <c r="K979" s="348">
        <f t="shared" si="121"/>
        <v>2029.9999999999995</v>
      </c>
      <c r="L979" s="78">
        <f>L980</f>
        <v>2000</v>
      </c>
      <c r="M979" s="78">
        <f>M980</f>
        <v>2200</v>
      </c>
    </row>
    <row r="980" spans="1:13" s="355" customFormat="1" ht="33.75" customHeight="1">
      <c r="A980" s="121" t="s">
        <v>763</v>
      </c>
      <c r="B980" s="347" t="s">
        <v>36</v>
      </c>
      <c r="C980" s="112" t="s">
        <v>91</v>
      </c>
      <c r="D980" s="112" t="s">
        <v>232</v>
      </c>
      <c r="E980" s="112" t="s">
        <v>136</v>
      </c>
      <c r="F980" s="112" t="s">
        <v>166</v>
      </c>
      <c r="G980" s="112" t="s">
        <v>247</v>
      </c>
      <c r="H980" s="111" t="s">
        <v>764</v>
      </c>
      <c r="I980" s="78">
        <f>800-215+1813+701.4</f>
        <v>3099.4</v>
      </c>
      <c r="J980" s="78">
        <f>800-215+1813+701.4+2030</f>
        <v>5129.4</v>
      </c>
      <c r="K980" s="348">
        <f t="shared" si="121"/>
        <v>2029.9999999999995</v>
      </c>
      <c r="L980" s="78">
        <v>2000</v>
      </c>
      <c r="M980" s="78">
        <v>2200</v>
      </c>
    </row>
    <row r="981" spans="1:13" s="355" customFormat="1" ht="33.75" customHeight="1">
      <c r="A981" s="121" t="s">
        <v>868</v>
      </c>
      <c r="B981" s="347" t="s">
        <v>36</v>
      </c>
      <c r="C981" s="112" t="s">
        <v>91</v>
      </c>
      <c r="D981" s="112" t="s">
        <v>232</v>
      </c>
      <c r="E981" s="112" t="s">
        <v>136</v>
      </c>
      <c r="F981" s="112" t="s">
        <v>166</v>
      </c>
      <c r="G981" s="112" t="s">
        <v>867</v>
      </c>
      <c r="H981" s="111"/>
      <c r="I981" s="78">
        <f>I982</f>
        <v>1848.9</v>
      </c>
      <c r="J981" s="78">
        <f>J982</f>
        <v>1848.9</v>
      </c>
      <c r="K981" s="348">
        <f t="shared" si="121"/>
        <v>0</v>
      </c>
      <c r="L981" s="78">
        <f>L982</f>
        <v>0</v>
      </c>
      <c r="M981" s="78">
        <f>M982</f>
        <v>0</v>
      </c>
    </row>
    <row r="982" spans="1:13" s="355" customFormat="1" ht="33.75" customHeight="1">
      <c r="A982" s="121" t="s">
        <v>763</v>
      </c>
      <c r="B982" s="347" t="s">
        <v>36</v>
      </c>
      <c r="C982" s="112" t="s">
        <v>91</v>
      </c>
      <c r="D982" s="112" t="s">
        <v>232</v>
      </c>
      <c r="E982" s="112" t="s">
        <v>136</v>
      </c>
      <c r="F982" s="112" t="s">
        <v>166</v>
      </c>
      <c r="G982" s="112" t="s">
        <v>867</v>
      </c>
      <c r="H982" s="111" t="s">
        <v>764</v>
      </c>
      <c r="I982" s="78">
        <f>200+1648.9</f>
        <v>1848.9</v>
      </c>
      <c r="J982" s="78">
        <f>200+1648.9</f>
        <v>1848.9</v>
      </c>
      <c r="K982" s="348">
        <f t="shared" si="121"/>
        <v>0</v>
      </c>
      <c r="L982" s="78"/>
      <c r="M982" s="78"/>
    </row>
    <row r="983" spans="1:15" s="355" customFormat="1" ht="34.5" customHeight="1">
      <c r="A983" s="123" t="s">
        <v>240</v>
      </c>
      <c r="B983" s="347" t="s">
        <v>36</v>
      </c>
      <c r="C983" s="112" t="s">
        <v>91</v>
      </c>
      <c r="D983" s="112" t="s">
        <v>232</v>
      </c>
      <c r="E983" s="112" t="s">
        <v>136</v>
      </c>
      <c r="F983" s="112" t="s">
        <v>166</v>
      </c>
      <c r="G983" s="112" t="s">
        <v>1011</v>
      </c>
      <c r="H983" s="111"/>
      <c r="I983" s="78">
        <f>I984</f>
        <v>2347.5</v>
      </c>
      <c r="J983" s="78">
        <f>J984</f>
        <v>2347.5</v>
      </c>
      <c r="K983" s="348">
        <f t="shared" si="121"/>
        <v>0</v>
      </c>
      <c r="L983" s="78">
        <f>L984</f>
        <v>1932.5</v>
      </c>
      <c r="M983" s="78">
        <f>M984</f>
        <v>2132.5</v>
      </c>
      <c r="N983" s="345"/>
      <c r="O983" s="345"/>
    </row>
    <row r="984" spans="1:15" s="355" customFormat="1" ht="30.75" customHeight="1">
      <c r="A984" s="123" t="s">
        <v>763</v>
      </c>
      <c r="B984" s="347" t="s">
        <v>36</v>
      </c>
      <c r="C984" s="112" t="s">
        <v>91</v>
      </c>
      <c r="D984" s="112" t="s">
        <v>232</v>
      </c>
      <c r="E984" s="112" t="s">
        <v>136</v>
      </c>
      <c r="F984" s="112" t="s">
        <v>166</v>
      </c>
      <c r="G984" s="112" t="s">
        <v>1011</v>
      </c>
      <c r="H984" s="111" t="s">
        <v>764</v>
      </c>
      <c r="I984" s="78">
        <f>235+2112.5</f>
        <v>2347.5</v>
      </c>
      <c r="J984" s="78">
        <f>235+2112.5</f>
        <v>2347.5</v>
      </c>
      <c r="K984" s="348">
        <f t="shared" si="121"/>
        <v>0</v>
      </c>
      <c r="L984" s="78">
        <v>1932.5</v>
      </c>
      <c r="M984" s="78">
        <v>2132.5</v>
      </c>
      <c r="N984" s="345"/>
      <c r="O984" s="345"/>
    </row>
    <row r="985" spans="1:13" s="345" customFormat="1" ht="45" customHeight="1">
      <c r="A985" s="121" t="s">
        <v>210</v>
      </c>
      <c r="B985" s="347">
        <v>119</v>
      </c>
      <c r="C985" s="112" t="s">
        <v>91</v>
      </c>
      <c r="D985" s="112" t="s">
        <v>232</v>
      </c>
      <c r="E985" s="112" t="s">
        <v>136</v>
      </c>
      <c r="F985" s="112" t="s">
        <v>166</v>
      </c>
      <c r="G985" s="112" t="s">
        <v>211</v>
      </c>
      <c r="H985" s="111"/>
      <c r="I985" s="78">
        <f>I986</f>
        <v>882</v>
      </c>
      <c r="J985" s="78">
        <f>J986</f>
        <v>882</v>
      </c>
      <c r="K985" s="348">
        <f t="shared" si="121"/>
        <v>0</v>
      </c>
      <c r="L985" s="78">
        <f>L986</f>
        <v>0</v>
      </c>
      <c r="M985" s="78">
        <f>M986</f>
        <v>0</v>
      </c>
    </row>
    <row r="986" spans="1:15" s="345" customFormat="1" ht="32.25" customHeight="1">
      <c r="A986" s="121" t="s">
        <v>763</v>
      </c>
      <c r="B986" s="347">
        <v>119</v>
      </c>
      <c r="C986" s="112" t="s">
        <v>91</v>
      </c>
      <c r="D986" s="112" t="s">
        <v>232</v>
      </c>
      <c r="E986" s="112" t="s">
        <v>136</v>
      </c>
      <c r="F986" s="112" t="s">
        <v>166</v>
      </c>
      <c r="G986" s="112" t="s">
        <v>211</v>
      </c>
      <c r="H986" s="111" t="s">
        <v>764</v>
      </c>
      <c r="I986" s="78">
        <v>882</v>
      </c>
      <c r="J986" s="78">
        <v>882</v>
      </c>
      <c r="K986" s="348">
        <f t="shared" si="121"/>
        <v>0</v>
      </c>
      <c r="L986" s="78"/>
      <c r="M986" s="78"/>
      <c r="N986" s="346"/>
      <c r="O986" s="346"/>
    </row>
    <row r="987" spans="1:15" s="345" customFormat="1" ht="24.75" customHeight="1" hidden="1">
      <c r="A987" s="121" t="s">
        <v>845</v>
      </c>
      <c r="B987" s="347">
        <v>119</v>
      </c>
      <c r="C987" s="112" t="s">
        <v>91</v>
      </c>
      <c r="D987" s="112" t="s">
        <v>232</v>
      </c>
      <c r="E987" s="112" t="s">
        <v>136</v>
      </c>
      <c r="F987" s="112" t="s">
        <v>166</v>
      </c>
      <c r="G987" s="112" t="s">
        <v>846</v>
      </c>
      <c r="H987" s="111"/>
      <c r="I987" s="78">
        <f>I988</f>
        <v>0</v>
      </c>
      <c r="J987" s="78">
        <f>J988</f>
        <v>0</v>
      </c>
      <c r="K987" s="348">
        <f t="shared" si="121"/>
        <v>0</v>
      </c>
      <c r="L987" s="78">
        <f>L988</f>
        <v>0</v>
      </c>
      <c r="M987" s="78">
        <f>M988</f>
        <v>0</v>
      </c>
      <c r="N987" s="346"/>
      <c r="O987" s="346"/>
    </row>
    <row r="988" spans="1:15" s="345" customFormat="1" ht="27" customHeight="1" hidden="1">
      <c r="A988" s="121" t="s">
        <v>763</v>
      </c>
      <c r="B988" s="347">
        <v>119</v>
      </c>
      <c r="C988" s="112" t="s">
        <v>91</v>
      </c>
      <c r="D988" s="112" t="s">
        <v>232</v>
      </c>
      <c r="E988" s="112" t="s">
        <v>136</v>
      </c>
      <c r="F988" s="112" t="s">
        <v>166</v>
      </c>
      <c r="G988" s="112" t="s">
        <v>846</v>
      </c>
      <c r="H988" s="111" t="s">
        <v>764</v>
      </c>
      <c r="I988" s="78"/>
      <c r="J988" s="78"/>
      <c r="K988" s="348">
        <f t="shared" si="121"/>
        <v>0</v>
      </c>
      <c r="L988" s="78"/>
      <c r="M988" s="78"/>
      <c r="N988" s="346"/>
      <c r="O988" s="346"/>
    </row>
    <row r="989" spans="1:15" s="345" customFormat="1" ht="25.5" customHeight="1" hidden="1">
      <c r="A989" s="123" t="s">
        <v>266</v>
      </c>
      <c r="B989" s="347">
        <v>119</v>
      </c>
      <c r="C989" s="112" t="s">
        <v>91</v>
      </c>
      <c r="D989" s="112" t="s">
        <v>232</v>
      </c>
      <c r="E989" s="112" t="s">
        <v>136</v>
      </c>
      <c r="F989" s="112" t="s">
        <v>166</v>
      </c>
      <c r="G989" s="112" t="s">
        <v>267</v>
      </c>
      <c r="H989" s="111"/>
      <c r="I989" s="78">
        <f>I990</f>
        <v>0</v>
      </c>
      <c r="J989" s="78">
        <f>J990</f>
        <v>0</v>
      </c>
      <c r="K989" s="348">
        <f t="shared" si="121"/>
        <v>0</v>
      </c>
      <c r="L989" s="78">
        <f>L990</f>
        <v>0</v>
      </c>
      <c r="M989" s="78">
        <f>M990</f>
        <v>0</v>
      </c>
      <c r="N989" s="346"/>
      <c r="O989" s="346"/>
    </row>
    <row r="990" spans="1:15" s="346" customFormat="1" ht="23.25" customHeight="1" hidden="1">
      <c r="A990" s="123" t="s">
        <v>763</v>
      </c>
      <c r="B990" s="347">
        <v>119</v>
      </c>
      <c r="C990" s="112" t="s">
        <v>91</v>
      </c>
      <c r="D990" s="112" t="s">
        <v>232</v>
      </c>
      <c r="E990" s="112" t="s">
        <v>136</v>
      </c>
      <c r="F990" s="112" t="s">
        <v>166</v>
      </c>
      <c r="G990" s="112" t="s">
        <v>267</v>
      </c>
      <c r="H990" s="111" t="s">
        <v>764</v>
      </c>
      <c r="I990" s="78"/>
      <c r="J990" s="78"/>
      <c r="K990" s="348">
        <f t="shared" si="121"/>
        <v>0</v>
      </c>
      <c r="L990" s="78"/>
      <c r="M990" s="78"/>
      <c r="N990" s="327"/>
      <c r="O990" s="327"/>
    </row>
    <row r="991" spans="1:15" s="346" customFormat="1" ht="21.75" customHeight="1">
      <c r="A991" s="139" t="s">
        <v>441</v>
      </c>
      <c r="B991" s="343">
        <v>119</v>
      </c>
      <c r="C991" s="107" t="s">
        <v>91</v>
      </c>
      <c r="D991" s="107" t="s">
        <v>442</v>
      </c>
      <c r="E991" s="107" t="s">
        <v>154</v>
      </c>
      <c r="F991" s="107" t="s">
        <v>155</v>
      </c>
      <c r="G991" s="107" t="s">
        <v>156</v>
      </c>
      <c r="H991" s="71"/>
      <c r="I991" s="37">
        <f>I992</f>
        <v>255</v>
      </c>
      <c r="J991" s="37">
        <f>J992</f>
        <v>255</v>
      </c>
      <c r="K991" s="344">
        <f t="shared" si="121"/>
        <v>0</v>
      </c>
      <c r="L991" s="37">
        <f>L992</f>
        <v>0</v>
      </c>
      <c r="M991" s="37">
        <f>M992</f>
        <v>0</v>
      </c>
      <c r="N991" s="327"/>
      <c r="O991" s="327"/>
    </row>
    <row r="992" spans="1:15" s="346" customFormat="1" ht="21.75" customHeight="1">
      <c r="A992" s="136" t="s">
        <v>410</v>
      </c>
      <c r="B992" s="343">
        <v>119</v>
      </c>
      <c r="C992" s="107" t="s">
        <v>91</v>
      </c>
      <c r="D992" s="107" t="s">
        <v>442</v>
      </c>
      <c r="E992" s="107" t="s">
        <v>338</v>
      </c>
      <c r="F992" s="107" t="s">
        <v>155</v>
      </c>
      <c r="G992" s="107" t="s">
        <v>156</v>
      </c>
      <c r="H992" s="71"/>
      <c r="I992" s="37">
        <f>I993</f>
        <v>255</v>
      </c>
      <c r="J992" s="37">
        <f>J993</f>
        <v>255</v>
      </c>
      <c r="K992" s="344">
        <f t="shared" si="121"/>
        <v>0</v>
      </c>
      <c r="L992" s="37">
        <f>L993</f>
        <v>0</v>
      </c>
      <c r="M992" s="37">
        <f>M993</f>
        <v>0</v>
      </c>
      <c r="N992" s="327"/>
      <c r="O992" s="327"/>
    </row>
    <row r="993" spans="1:15" s="346" customFormat="1" ht="19.5" customHeight="1">
      <c r="A993" s="137" t="s">
        <v>410</v>
      </c>
      <c r="B993" s="343">
        <v>119</v>
      </c>
      <c r="C993" s="107" t="s">
        <v>91</v>
      </c>
      <c r="D993" s="107" t="s">
        <v>442</v>
      </c>
      <c r="E993" s="107" t="s">
        <v>338</v>
      </c>
      <c r="F993" s="107" t="s">
        <v>153</v>
      </c>
      <c r="G993" s="107" t="s">
        <v>156</v>
      </c>
      <c r="H993" s="71"/>
      <c r="I993" s="37">
        <f>I994+I996</f>
        <v>255</v>
      </c>
      <c r="J993" s="37">
        <f>J994+J996</f>
        <v>255</v>
      </c>
      <c r="K993" s="344">
        <f t="shared" si="121"/>
        <v>0</v>
      </c>
      <c r="L993" s="37">
        <f>L994+L996</f>
        <v>0</v>
      </c>
      <c r="M993" s="37">
        <f>M994+M996</f>
        <v>0</v>
      </c>
      <c r="N993" s="327"/>
      <c r="O993" s="327"/>
    </row>
    <row r="994" spans="1:15" s="346" customFormat="1" ht="31.5" customHeight="1">
      <c r="A994" s="123" t="s">
        <v>245</v>
      </c>
      <c r="B994" s="347">
        <v>119</v>
      </c>
      <c r="C994" s="112" t="s">
        <v>91</v>
      </c>
      <c r="D994" s="112" t="s">
        <v>442</v>
      </c>
      <c r="E994" s="112" t="s">
        <v>338</v>
      </c>
      <c r="F994" s="112" t="s">
        <v>153</v>
      </c>
      <c r="G994" s="112" t="s">
        <v>246</v>
      </c>
      <c r="H994" s="111"/>
      <c r="I994" s="78">
        <f>I995</f>
        <v>178.1</v>
      </c>
      <c r="J994" s="78">
        <f>J995</f>
        <v>178.1</v>
      </c>
      <c r="K994" s="348">
        <f t="shared" si="121"/>
        <v>0</v>
      </c>
      <c r="L994" s="78">
        <f>L995</f>
        <v>0</v>
      </c>
      <c r="M994" s="78">
        <f>M995</f>
        <v>0</v>
      </c>
      <c r="N994" s="327"/>
      <c r="O994" s="327"/>
    </row>
    <row r="995" spans="1:15" s="346" customFormat="1" ht="36.75" customHeight="1">
      <c r="A995" s="121" t="s">
        <v>763</v>
      </c>
      <c r="B995" s="347">
        <v>119</v>
      </c>
      <c r="C995" s="112" t="s">
        <v>91</v>
      </c>
      <c r="D995" s="112" t="s">
        <v>442</v>
      </c>
      <c r="E995" s="112" t="s">
        <v>338</v>
      </c>
      <c r="F995" s="112" t="s">
        <v>153</v>
      </c>
      <c r="G995" s="112" t="s">
        <v>246</v>
      </c>
      <c r="H995" s="111" t="s">
        <v>764</v>
      </c>
      <c r="I995" s="78">
        <v>178.1</v>
      </c>
      <c r="J995" s="78">
        <v>178.1</v>
      </c>
      <c r="K995" s="348">
        <f t="shared" si="121"/>
        <v>0</v>
      </c>
      <c r="L995" s="78"/>
      <c r="M995" s="78"/>
      <c r="N995" s="327"/>
      <c r="O995" s="327"/>
    </row>
    <row r="996" spans="1:15" s="346" customFormat="1" ht="23.25" customHeight="1">
      <c r="A996" s="114" t="s">
        <v>1092</v>
      </c>
      <c r="B996" s="347">
        <v>119</v>
      </c>
      <c r="C996" s="112" t="s">
        <v>91</v>
      </c>
      <c r="D996" s="112" t="s">
        <v>442</v>
      </c>
      <c r="E996" s="112" t="s">
        <v>338</v>
      </c>
      <c r="F996" s="112" t="s">
        <v>153</v>
      </c>
      <c r="G996" s="112" t="s">
        <v>247</v>
      </c>
      <c r="H996" s="111"/>
      <c r="I996" s="78">
        <f>I997</f>
        <v>76.9</v>
      </c>
      <c r="J996" s="78">
        <f>J997</f>
        <v>76.9</v>
      </c>
      <c r="K996" s="348">
        <f t="shared" si="121"/>
        <v>0</v>
      </c>
      <c r="L996" s="78">
        <f>L997</f>
        <v>0</v>
      </c>
      <c r="M996" s="78">
        <f>M997</f>
        <v>0</v>
      </c>
      <c r="N996" s="327"/>
      <c r="O996" s="327"/>
    </row>
    <row r="997" spans="1:15" s="346" customFormat="1" ht="31.5" customHeight="1">
      <c r="A997" s="121" t="s">
        <v>763</v>
      </c>
      <c r="B997" s="347">
        <v>119</v>
      </c>
      <c r="C997" s="112" t="s">
        <v>91</v>
      </c>
      <c r="D997" s="112" t="s">
        <v>442</v>
      </c>
      <c r="E997" s="112" t="s">
        <v>338</v>
      </c>
      <c r="F997" s="112" t="s">
        <v>153</v>
      </c>
      <c r="G997" s="112" t="s">
        <v>247</v>
      </c>
      <c r="H997" s="111" t="s">
        <v>764</v>
      </c>
      <c r="I997" s="78">
        <f>77-0.1</f>
        <v>76.9</v>
      </c>
      <c r="J997" s="78">
        <f>77-0.1</f>
        <v>76.9</v>
      </c>
      <c r="K997" s="348">
        <f t="shared" si="121"/>
        <v>0</v>
      </c>
      <c r="L997" s="78"/>
      <c r="M997" s="78"/>
      <c r="N997" s="327"/>
      <c r="O997" s="327"/>
    </row>
    <row r="998" spans="1:13" s="346" customFormat="1" ht="21" customHeight="1">
      <c r="A998" s="139" t="s">
        <v>92</v>
      </c>
      <c r="B998" s="343" t="s">
        <v>36</v>
      </c>
      <c r="C998" s="107" t="s">
        <v>93</v>
      </c>
      <c r="D998" s="71"/>
      <c r="E998" s="71"/>
      <c r="F998" s="71"/>
      <c r="G998" s="71"/>
      <c r="H998" s="71"/>
      <c r="I998" s="37">
        <f>I999+I1041</f>
        <v>766564.5</v>
      </c>
      <c r="J998" s="37">
        <f>J999+J1041</f>
        <v>775914.8</v>
      </c>
      <c r="K998" s="344">
        <f t="shared" si="121"/>
        <v>9350.300000000047</v>
      </c>
      <c r="L998" s="37">
        <f>L999+L1041</f>
        <v>962058.2999999999</v>
      </c>
      <c r="M998" s="37">
        <f>M999+M1041</f>
        <v>1224250.4</v>
      </c>
    </row>
    <row r="999" spans="1:13" ht="34.5" customHeight="1">
      <c r="A999" s="139" t="s">
        <v>231</v>
      </c>
      <c r="B999" s="343" t="s">
        <v>36</v>
      </c>
      <c r="C999" s="107" t="s">
        <v>93</v>
      </c>
      <c r="D999" s="71" t="s">
        <v>232</v>
      </c>
      <c r="E999" s="71" t="s">
        <v>154</v>
      </c>
      <c r="F999" s="71" t="s">
        <v>155</v>
      </c>
      <c r="G999" s="71" t="s">
        <v>156</v>
      </c>
      <c r="H999" s="71"/>
      <c r="I999" s="37">
        <f>I1000</f>
        <v>766244.6</v>
      </c>
      <c r="J999" s="37">
        <f>J1000</f>
        <v>775594.9</v>
      </c>
      <c r="K999" s="344">
        <f t="shared" si="121"/>
        <v>9350.300000000047</v>
      </c>
      <c r="L999" s="37">
        <f>L1000</f>
        <v>962058.2999999999</v>
      </c>
      <c r="M999" s="37">
        <f>M1000</f>
        <v>1224250.4</v>
      </c>
    </row>
    <row r="1000" spans="1:13" ht="51" customHeight="1">
      <c r="A1000" s="136" t="s">
        <v>248</v>
      </c>
      <c r="B1000" s="343" t="s">
        <v>36</v>
      </c>
      <c r="C1000" s="107" t="s">
        <v>93</v>
      </c>
      <c r="D1000" s="71" t="s">
        <v>232</v>
      </c>
      <c r="E1000" s="71" t="s">
        <v>137</v>
      </c>
      <c r="F1000" s="71" t="s">
        <v>155</v>
      </c>
      <c r="G1000" s="71" t="s">
        <v>156</v>
      </c>
      <c r="H1000" s="71"/>
      <c r="I1000" s="37">
        <f>I1001+I1006+I1014+I1035+I1038</f>
        <v>766244.6</v>
      </c>
      <c r="J1000" s="37">
        <f>J1001+J1006+J1014+J1035+J1038</f>
        <v>775594.9</v>
      </c>
      <c r="K1000" s="344">
        <f t="shared" si="121"/>
        <v>9350.300000000047</v>
      </c>
      <c r="L1000" s="37">
        <f>L1001+L1006+L1014+L1035+L1038</f>
        <v>962058.2999999999</v>
      </c>
      <c r="M1000" s="37">
        <f>M1001+M1006+M1014+M1035+M1038</f>
        <v>1224250.4</v>
      </c>
    </row>
    <row r="1001" spans="1:13" s="355" customFormat="1" ht="33" customHeight="1">
      <c r="A1001" s="137" t="s">
        <v>249</v>
      </c>
      <c r="B1001" s="343" t="s">
        <v>36</v>
      </c>
      <c r="C1001" s="107" t="s">
        <v>93</v>
      </c>
      <c r="D1001" s="107" t="s">
        <v>232</v>
      </c>
      <c r="E1001" s="107" t="s">
        <v>137</v>
      </c>
      <c r="F1001" s="107" t="s">
        <v>153</v>
      </c>
      <c r="G1001" s="107" t="s">
        <v>156</v>
      </c>
      <c r="H1001" s="71"/>
      <c r="I1001" s="37">
        <f>I1002+I1004</f>
        <v>652504.6</v>
      </c>
      <c r="J1001" s="37">
        <f>J1002+J1004</f>
        <v>652504.6</v>
      </c>
      <c r="K1001" s="344">
        <f t="shared" si="121"/>
        <v>0</v>
      </c>
      <c r="L1001" s="37">
        <f>L1002+L1004</f>
        <v>633299.2</v>
      </c>
      <c r="M1001" s="37">
        <f>M1002+M1004</f>
        <v>633682.2</v>
      </c>
    </row>
    <row r="1002" spans="1:13" ht="34.5" customHeight="1">
      <c r="A1002" s="123" t="s">
        <v>511</v>
      </c>
      <c r="B1002" s="347" t="s">
        <v>36</v>
      </c>
      <c r="C1002" s="112" t="s">
        <v>93</v>
      </c>
      <c r="D1002" s="112" t="s">
        <v>232</v>
      </c>
      <c r="E1002" s="112" t="s">
        <v>137</v>
      </c>
      <c r="F1002" s="112" t="s">
        <v>153</v>
      </c>
      <c r="G1002" s="112" t="s">
        <v>201</v>
      </c>
      <c r="H1002" s="111"/>
      <c r="I1002" s="78">
        <f>I1003</f>
        <v>98699.59999999999</v>
      </c>
      <c r="J1002" s="78">
        <f>J1003</f>
        <v>98699.59999999999</v>
      </c>
      <c r="K1002" s="348">
        <f t="shared" si="121"/>
        <v>0</v>
      </c>
      <c r="L1002" s="78">
        <f>L1003</f>
        <v>94588</v>
      </c>
      <c r="M1002" s="78">
        <f>M1003</f>
        <v>94971</v>
      </c>
    </row>
    <row r="1003" spans="1:13" ht="35.25" customHeight="1">
      <c r="A1003" s="123" t="s">
        <v>763</v>
      </c>
      <c r="B1003" s="347" t="s">
        <v>36</v>
      </c>
      <c r="C1003" s="112" t="s">
        <v>93</v>
      </c>
      <c r="D1003" s="112" t="s">
        <v>232</v>
      </c>
      <c r="E1003" s="112" t="s">
        <v>137</v>
      </c>
      <c r="F1003" s="112" t="s">
        <v>153</v>
      </c>
      <c r="G1003" s="112" t="s">
        <v>201</v>
      </c>
      <c r="H1003" s="111" t="s">
        <v>764</v>
      </c>
      <c r="I1003" s="78">
        <f>94851.7+3847.9</f>
        <v>98699.59999999999</v>
      </c>
      <c r="J1003" s="78">
        <f>94851.7+3847.9</f>
        <v>98699.59999999999</v>
      </c>
      <c r="K1003" s="348">
        <f aca="true" t="shared" si="126" ref="K1003:K1086">J1003-I1003</f>
        <v>0</v>
      </c>
      <c r="L1003" s="78">
        <v>94588</v>
      </c>
      <c r="M1003" s="78">
        <v>94971</v>
      </c>
    </row>
    <row r="1004" spans="1:13" ht="123.75" customHeight="1">
      <c r="A1004" s="123" t="s">
        <v>521</v>
      </c>
      <c r="B1004" s="347" t="s">
        <v>36</v>
      </c>
      <c r="C1004" s="112" t="s">
        <v>93</v>
      </c>
      <c r="D1004" s="112" t="s">
        <v>232</v>
      </c>
      <c r="E1004" s="112" t="s">
        <v>137</v>
      </c>
      <c r="F1004" s="112" t="s">
        <v>153</v>
      </c>
      <c r="G1004" s="112" t="s">
        <v>251</v>
      </c>
      <c r="H1004" s="111"/>
      <c r="I1004" s="78">
        <f>I1005</f>
        <v>553805</v>
      </c>
      <c r="J1004" s="78">
        <f>J1005</f>
        <v>553805</v>
      </c>
      <c r="K1004" s="348">
        <f t="shared" si="126"/>
        <v>0</v>
      </c>
      <c r="L1004" s="78">
        <f>L1005</f>
        <v>538711.2</v>
      </c>
      <c r="M1004" s="78">
        <f>M1005</f>
        <v>538711.2</v>
      </c>
    </row>
    <row r="1005" spans="1:13" ht="34.5" customHeight="1">
      <c r="A1005" s="123" t="s">
        <v>763</v>
      </c>
      <c r="B1005" s="347" t="s">
        <v>36</v>
      </c>
      <c r="C1005" s="112" t="s">
        <v>93</v>
      </c>
      <c r="D1005" s="112" t="s">
        <v>232</v>
      </c>
      <c r="E1005" s="112" t="s">
        <v>137</v>
      </c>
      <c r="F1005" s="112" t="s">
        <v>153</v>
      </c>
      <c r="G1005" s="112" t="s">
        <v>251</v>
      </c>
      <c r="H1005" s="111" t="s">
        <v>764</v>
      </c>
      <c r="I1005" s="78">
        <f>538711.2+15093.8</f>
        <v>553805</v>
      </c>
      <c r="J1005" s="78">
        <f>538711.2+15093.8</f>
        <v>553805</v>
      </c>
      <c r="K1005" s="348">
        <f t="shared" si="126"/>
        <v>0</v>
      </c>
      <c r="L1005" s="78">
        <v>538711.2</v>
      </c>
      <c r="M1005" s="78">
        <v>538711.2</v>
      </c>
    </row>
    <row r="1006" spans="1:13" s="355" customFormat="1" ht="22.5" customHeight="1">
      <c r="A1006" s="137" t="s">
        <v>252</v>
      </c>
      <c r="B1006" s="343" t="s">
        <v>36</v>
      </c>
      <c r="C1006" s="107" t="s">
        <v>93</v>
      </c>
      <c r="D1006" s="107" t="s">
        <v>232</v>
      </c>
      <c r="E1006" s="107" t="s">
        <v>137</v>
      </c>
      <c r="F1006" s="107" t="s">
        <v>166</v>
      </c>
      <c r="G1006" s="107" t="s">
        <v>156</v>
      </c>
      <c r="H1006" s="71"/>
      <c r="I1006" s="37">
        <f>I1007+I1009+I1012</f>
        <v>2160</v>
      </c>
      <c r="J1006" s="37">
        <f>J1007+J1009+J1012</f>
        <v>2160</v>
      </c>
      <c r="K1006" s="344">
        <f t="shared" si="126"/>
        <v>0</v>
      </c>
      <c r="L1006" s="37">
        <f>L1007+L1009+L1012</f>
        <v>2474</v>
      </c>
      <c r="M1006" s="37">
        <f>M1007+M1009+M1012</f>
        <v>2574</v>
      </c>
    </row>
    <row r="1007" spans="1:13" ht="30" customHeight="1">
      <c r="A1007" s="373" t="s">
        <v>253</v>
      </c>
      <c r="B1007" s="347" t="s">
        <v>36</v>
      </c>
      <c r="C1007" s="112" t="s">
        <v>93</v>
      </c>
      <c r="D1007" s="112" t="s">
        <v>232</v>
      </c>
      <c r="E1007" s="112" t="s">
        <v>137</v>
      </c>
      <c r="F1007" s="112" t="s">
        <v>166</v>
      </c>
      <c r="G1007" s="112" t="s">
        <v>254</v>
      </c>
      <c r="H1007" s="111"/>
      <c r="I1007" s="78">
        <f>I1008</f>
        <v>100</v>
      </c>
      <c r="J1007" s="78">
        <f>J1008</f>
        <v>100</v>
      </c>
      <c r="K1007" s="348">
        <f t="shared" si="126"/>
        <v>0</v>
      </c>
      <c r="L1007" s="78">
        <f>L1008</f>
        <v>700</v>
      </c>
      <c r="M1007" s="78">
        <f>M1008</f>
        <v>800</v>
      </c>
    </row>
    <row r="1008" spans="1:13" ht="30" customHeight="1">
      <c r="A1008" s="121" t="s">
        <v>763</v>
      </c>
      <c r="B1008" s="347" t="s">
        <v>36</v>
      </c>
      <c r="C1008" s="112" t="s">
        <v>93</v>
      </c>
      <c r="D1008" s="112" t="s">
        <v>232</v>
      </c>
      <c r="E1008" s="112" t="s">
        <v>137</v>
      </c>
      <c r="F1008" s="112" t="s">
        <v>166</v>
      </c>
      <c r="G1008" s="112" t="s">
        <v>254</v>
      </c>
      <c r="H1008" s="111" t="s">
        <v>764</v>
      </c>
      <c r="I1008" s="78">
        <f>500-300-187+87</f>
        <v>100</v>
      </c>
      <c r="J1008" s="78">
        <f>500-300-187+87</f>
        <v>100</v>
      </c>
      <c r="K1008" s="348">
        <f t="shared" si="126"/>
        <v>0</v>
      </c>
      <c r="L1008" s="78">
        <v>700</v>
      </c>
      <c r="M1008" s="78">
        <v>800</v>
      </c>
    </row>
    <row r="1009" spans="1:13" ht="19.5" customHeight="1">
      <c r="A1009" s="373" t="s">
        <v>255</v>
      </c>
      <c r="B1009" s="347" t="s">
        <v>36</v>
      </c>
      <c r="C1009" s="112" t="s">
        <v>93</v>
      </c>
      <c r="D1009" s="112" t="s">
        <v>232</v>
      </c>
      <c r="E1009" s="112" t="s">
        <v>137</v>
      </c>
      <c r="F1009" s="112" t="s">
        <v>166</v>
      </c>
      <c r="G1009" s="112" t="s">
        <v>256</v>
      </c>
      <c r="H1009" s="111"/>
      <c r="I1009" s="78">
        <f>I1010+I1011</f>
        <v>1200</v>
      </c>
      <c r="J1009" s="78">
        <f>J1010+J1011</f>
        <v>1200</v>
      </c>
      <c r="K1009" s="348">
        <f t="shared" si="126"/>
        <v>0</v>
      </c>
      <c r="L1009" s="78">
        <f>L1010+L1011</f>
        <v>1000</v>
      </c>
      <c r="M1009" s="78">
        <f>M1010+M1011</f>
        <v>1000</v>
      </c>
    </row>
    <row r="1010" spans="1:13" ht="33.75" customHeight="1">
      <c r="A1010" s="121" t="s">
        <v>758</v>
      </c>
      <c r="B1010" s="347" t="s">
        <v>36</v>
      </c>
      <c r="C1010" s="112" t="s">
        <v>93</v>
      </c>
      <c r="D1010" s="112" t="s">
        <v>232</v>
      </c>
      <c r="E1010" s="112" t="s">
        <v>137</v>
      </c>
      <c r="F1010" s="112" t="s">
        <v>166</v>
      </c>
      <c r="G1010" s="112" t="s">
        <v>256</v>
      </c>
      <c r="H1010" s="111" t="s">
        <v>757</v>
      </c>
      <c r="I1010" s="78">
        <f>200-120</f>
        <v>80</v>
      </c>
      <c r="J1010" s="78">
        <f>200-120</f>
        <v>80</v>
      </c>
      <c r="K1010" s="348">
        <f t="shared" si="126"/>
        <v>0</v>
      </c>
      <c r="L1010" s="78">
        <v>1000</v>
      </c>
      <c r="M1010" s="78">
        <v>1000</v>
      </c>
    </row>
    <row r="1011" spans="1:13" ht="33" customHeight="1">
      <c r="A1011" s="121" t="s">
        <v>763</v>
      </c>
      <c r="B1011" s="347" t="s">
        <v>36</v>
      </c>
      <c r="C1011" s="112" t="s">
        <v>93</v>
      </c>
      <c r="D1011" s="112" t="s">
        <v>232</v>
      </c>
      <c r="E1011" s="112" t="s">
        <v>137</v>
      </c>
      <c r="F1011" s="112" t="s">
        <v>166</v>
      </c>
      <c r="G1011" s="112" t="s">
        <v>256</v>
      </c>
      <c r="H1011" s="131"/>
      <c r="I1011" s="131">
        <f>500+120+500</f>
        <v>1120</v>
      </c>
      <c r="J1011" s="131">
        <f>500+120+500</f>
        <v>1120</v>
      </c>
      <c r="K1011" s="348">
        <f t="shared" si="126"/>
        <v>0</v>
      </c>
      <c r="L1011" s="331"/>
      <c r="M1011" s="331"/>
    </row>
    <row r="1012" spans="1:13" ht="33" customHeight="1">
      <c r="A1012" s="121" t="s">
        <v>1135</v>
      </c>
      <c r="B1012" s="347" t="s">
        <v>36</v>
      </c>
      <c r="C1012" s="112" t="s">
        <v>93</v>
      </c>
      <c r="D1012" s="112" t="s">
        <v>232</v>
      </c>
      <c r="E1012" s="112" t="s">
        <v>137</v>
      </c>
      <c r="F1012" s="112" t="s">
        <v>166</v>
      </c>
      <c r="G1012" s="112" t="s">
        <v>1134</v>
      </c>
      <c r="H1012" s="111"/>
      <c r="I1012" s="131">
        <f>I1013</f>
        <v>860</v>
      </c>
      <c r="J1012" s="131">
        <f>J1013</f>
        <v>860</v>
      </c>
      <c r="K1012" s="348">
        <f t="shared" si="126"/>
        <v>0</v>
      </c>
      <c r="L1012" s="131">
        <f>L1013</f>
        <v>774</v>
      </c>
      <c r="M1012" s="131">
        <f>M1013</f>
        <v>774</v>
      </c>
    </row>
    <row r="1013" spans="1:13" ht="33" customHeight="1">
      <c r="A1013" s="121" t="s">
        <v>763</v>
      </c>
      <c r="B1013" s="347" t="s">
        <v>36</v>
      </c>
      <c r="C1013" s="112" t="s">
        <v>93</v>
      </c>
      <c r="D1013" s="112" t="s">
        <v>232</v>
      </c>
      <c r="E1013" s="112" t="s">
        <v>137</v>
      </c>
      <c r="F1013" s="112" t="s">
        <v>166</v>
      </c>
      <c r="G1013" s="112" t="s">
        <v>1134</v>
      </c>
      <c r="H1013" s="111" t="s">
        <v>764</v>
      </c>
      <c r="I1013" s="131">
        <f>774+86</f>
        <v>860</v>
      </c>
      <c r="J1013" s="131">
        <f>774+86</f>
        <v>860</v>
      </c>
      <c r="K1013" s="348">
        <f t="shared" si="126"/>
        <v>0</v>
      </c>
      <c r="L1013" s="131">
        <v>774</v>
      </c>
      <c r="M1013" s="131">
        <v>774</v>
      </c>
    </row>
    <row r="1014" spans="1:13" s="355" customFormat="1" ht="34.5" customHeight="1">
      <c r="A1014" s="139" t="s">
        <v>262</v>
      </c>
      <c r="B1014" s="343">
        <v>119</v>
      </c>
      <c r="C1014" s="107" t="s">
        <v>93</v>
      </c>
      <c r="D1014" s="107" t="s">
        <v>232</v>
      </c>
      <c r="E1014" s="107" t="s">
        <v>137</v>
      </c>
      <c r="F1014" s="107" t="s">
        <v>180</v>
      </c>
      <c r="G1014" s="107" t="s">
        <v>156</v>
      </c>
      <c r="H1014" s="153"/>
      <c r="I1014" s="88">
        <f>I1015+I1017+I1019+I1021+I1023+I1025+I1027+I1029+I1033+I1031</f>
        <v>109051.6</v>
      </c>
      <c r="J1014" s="88">
        <f>J1015+J1017+J1019+J1021+J1023+J1025+J1027+J1029+J1033+J1031</f>
        <v>113557.4</v>
      </c>
      <c r="K1014" s="344">
        <f t="shared" si="126"/>
        <v>4505.799999999988</v>
      </c>
      <c r="L1014" s="88">
        <f>L1015+L1017+L1019+L1021+L1023+L1025+L1027+L1029+L1033+L1031</f>
        <v>326285.1</v>
      </c>
      <c r="M1014" s="88">
        <f>M1015+M1017+M1019+M1021+M1023+M1025+M1027+M1029+M1033+M1031</f>
        <v>587994.2</v>
      </c>
    </row>
    <row r="1015" spans="1:13" ht="31.5" customHeight="1">
      <c r="A1015" s="121" t="s">
        <v>257</v>
      </c>
      <c r="B1015" s="347" t="s">
        <v>36</v>
      </c>
      <c r="C1015" s="112" t="s">
        <v>93</v>
      </c>
      <c r="D1015" s="112" t="s">
        <v>232</v>
      </c>
      <c r="E1015" s="112" t="s">
        <v>137</v>
      </c>
      <c r="F1015" s="112" t="s">
        <v>180</v>
      </c>
      <c r="G1015" s="112" t="s">
        <v>1012</v>
      </c>
      <c r="H1015" s="111"/>
      <c r="I1015" s="78">
        <f>I1016</f>
        <v>29040.2</v>
      </c>
      <c r="J1015" s="78">
        <f>J1016</f>
        <v>29040.2</v>
      </c>
      <c r="K1015" s="348">
        <f t="shared" si="126"/>
        <v>0</v>
      </c>
      <c r="L1015" s="78">
        <f>L1016</f>
        <v>22914.2</v>
      </c>
      <c r="M1015" s="78">
        <f>M1016</f>
        <v>20934.2</v>
      </c>
    </row>
    <row r="1016" spans="1:13" ht="32.25" customHeight="1">
      <c r="A1016" s="121" t="s">
        <v>763</v>
      </c>
      <c r="B1016" s="347" t="s">
        <v>36</v>
      </c>
      <c r="C1016" s="112" t="s">
        <v>93</v>
      </c>
      <c r="D1016" s="112" t="s">
        <v>232</v>
      </c>
      <c r="E1016" s="112" t="s">
        <v>137</v>
      </c>
      <c r="F1016" s="112" t="s">
        <v>180</v>
      </c>
      <c r="G1016" s="112" t="s">
        <v>1012</v>
      </c>
      <c r="H1016" s="111" t="s">
        <v>764</v>
      </c>
      <c r="I1016" s="78">
        <f>1762+26064.2+1300-86</f>
        <v>29040.2</v>
      </c>
      <c r="J1016" s="78">
        <f>1762+26064.2+1300-86</f>
        <v>29040.2</v>
      </c>
      <c r="K1016" s="348">
        <f t="shared" si="126"/>
        <v>0</v>
      </c>
      <c r="L1016" s="78">
        <v>22914.2</v>
      </c>
      <c r="M1016" s="78">
        <v>20934.2</v>
      </c>
    </row>
    <row r="1017" spans="1:13" ht="32.25" customHeight="1" hidden="1">
      <c r="A1017" s="121" t="s">
        <v>845</v>
      </c>
      <c r="B1017" s="347" t="s">
        <v>36</v>
      </c>
      <c r="C1017" s="112" t="s">
        <v>93</v>
      </c>
      <c r="D1017" s="112" t="s">
        <v>232</v>
      </c>
      <c r="E1017" s="112" t="s">
        <v>137</v>
      </c>
      <c r="F1017" s="112" t="s">
        <v>180</v>
      </c>
      <c r="G1017" s="112" t="s">
        <v>846</v>
      </c>
      <c r="H1017" s="111"/>
      <c r="I1017" s="78">
        <f>I1018</f>
        <v>0</v>
      </c>
      <c r="J1017" s="78">
        <f>J1018</f>
        <v>0</v>
      </c>
      <c r="K1017" s="348">
        <f t="shared" si="126"/>
        <v>0</v>
      </c>
      <c r="L1017" s="78">
        <f>L1018</f>
        <v>0</v>
      </c>
      <c r="M1017" s="78">
        <f>M1018</f>
        <v>0</v>
      </c>
    </row>
    <row r="1018" spans="1:13" ht="32.25" customHeight="1" hidden="1">
      <c r="A1018" s="121" t="s">
        <v>763</v>
      </c>
      <c r="B1018" s="347" t="s">
        <v>36</v>
      </c>
      <c r="C1018" s="112" t="s">
        <v>93</v>
      </c>
      <c r="D1018" s="112" t="s">
        <v>232</v>
      </c>
      <c r="E1018" s="112" t="s">
        <v>137</v>
      </c>
      <c r="F1018" s="112" t="s">
        <v>180</v>
      </c>
      <c r="G1018" s="112" t="s">
        <v>846</v>
      </c>
      <c r="H1018" s="111" t="s">
        <v>764</v>
      </c>
      <c r="I1018" s="78"/>
      <c r="J1018" s="78"/>
      <c r="K1018" s="348">
        <f t="shared" si="126"/>
        <v>0</v>
      </c>
      <c r="L1018" s="78"/>
      <c r="M1018" s="78"/>
    </row>
    <row r="1019" spans="1:13" ht="18.75" customHeight="1">
      <c r="A1019" s="123" t="s">
        <v>208</v>
      </c>
      <c r="B1019" s="347" t="s">
        <v>36</v>
      </c>
      <c r="C1019" s="112" t="s">
        <v>93</v>
      </c>
      <c r="D1019" s="112" t="s">
        <v>232</v>
      </c>
      <c r="E1019" s="112" t="s">
        <v>137</v>
      </c>
      <c r="F1019" s="112" t="s">
        <v>180</v>
      </c>
      <c r="G1019" s="112" t="s">
        <v>209</v>
      </c>
      <c r="H1019" s="111"/>
      <c r="I1019" s="78">
        <f>I1020</f>
        <v>4140.6</v>
      </c>
      <c r="J1019" s="78">
        <f>J1020</f>
        <v>6896.400000000001</v>
      </c>
      <c r="K1019" s="348">
        <f t="shared" si="126"/>
        <v>2755.8</v>
      </c>
      <c r="L1019" s="78">
        <f>L1020</f>
        <v>0</v>
      </c>
      <c r="M1019" s="78">
        <f>M1020</f>
        <v>0</v>
      </c>
    </row>
    <row r="1020" spans="1:13" ht="30.75" customHeight="1">
      <c r="A1020" s="121" t="s">
        <v>763</v>
      </c>
      <c r="B1020" s="347" t="s">
        <v>36</v>
      </c>
      <c r="C1020" s="112" t="s">
        <v>93</v>
      </c>
      <c r="D1020" s="112" t="s">
        <v>232</v>
      </c>
      <c r="E1020" s="112" t="s">
        <v>137</v>
      </c>
      <c r="F1020" s="112" t="s">
        <v>180</v>
      </c>
      <c r="G1020" s="112" t="s">
        <v>209</v>
      </c>
      <c r="H1020" s="111" t="s">
        <v>764</v>
      </c>
      <c r="I1020" s="78">
        <f>14576-1300-5000-6976-1300+827.2+3313.4</f>
        <v>4140.6</v>
      </c>
      <c r="J1020" s="78">
        <f>14576-1300-5000-6976-1300+827.2+3313.4+600+2155.8</f>
        <v>6896.400000000001</v>
      </c>
      <c r="K1020" s="348">
        <f t="shared" si="126"/>
        <v>2755.8</v>
      </c>
      <c r="L1020" s="78">
        <f>41260-41260</f>
        <v>0</v>
      </c>
      <c r="M1020" s="78">
        <f>41260-41260</f>
        <v>0</v>
      </c>
    </row>
    <row r="1021" spans="1:13" ht="32.25" customHeight="1">
      <c r="A1021" s="373" t="s">
        <v>263</v>
      </c>
      <c r="B1021" s="347" t="s">
        <v>36</v>
      </c>
      <c r="C1021" s="112" t="s">
        <v>93</v>
      </c>
      <c r="D1021" s="112" t="s">
        <v>232</v>
      </c>
      <c r="E1021" s="112" t="s">
        <v>137</v>
      </c>
      <c r="F1021" s="112" t="s">
        <v>180</v>
      </c>
      <c r="G1021" s="112" t="s">
        <v>264</v>
      </c>
      <c r="H1021" s="111"/>
      <c r="I1021" s="78">
        <f>I1022</f>
        <v>3897.2</v>
      </c>
      <c r="J1021" s="78">
        <f>J1022</f>
        <v>3897.2</v>
      </c>
      <c r="K1021" s="348">
        <f t="shared" si="126"/>
        <v>0</v>
      </c>
      <c r="L1021" s="78">
        <f>L1022</f>
        <v>1110.9</v>
      </c>
      <c r="M1021" s="78">
        <f>M1022</f>
        <v>1200</v>
      </c>
    </row>
    <row r="1022" spans="1:13" ht="33" customHeight="1">
      <c r="A1022" s="121" t="s">
        <v>763</v>
      </c>
      <c r="B1022" s="347" t="s">
        <v>36</v>
      </c>
      <c r="C1022" s="112" t="s">
        <v>93</v>
      </c>
      <c r="D1022" s="112" t="s">
        <v>232</v>
      </c>
      <c r="E1022" s="112" t="s">
        <v>137</v>
      </c>
      <c r="F1022" s="112" t="s">
        <v>180</v>
      </c>
      <c r="G1022" s="112" t="s">
        <v>264</v>
      </c>
      <c r="H1022" s="111" t="s">
        <v>764</v>
      </c>
      <c r="I1022" s="78">
        <f>1300+300-998.2-26.9-177.6+388.8+3111.1</f>
        <v>3897.2</v>
      </c>
      <c r="J1022" s="78">
        <f>1300+300-998.2-26.9-177.6+388.8+3111.1</f>
        <v>3897.2</v>
      </c>
      <c r="K1022" s="348">
        <f t="shared" si="126"/>
        <v>0</v>
      </c>
      <c r="L1022" s="78">
        <v>1110.9</v>
      </c>
      <c r="M1022" s="78">
        <v>1200</v>
      </c>
    </row>
    <row r="1023" spans="1:13" ht="19.5" customHeight="1">
      <c r="A1023" s="114" t="s">
        <v>1092</v>
      </c>
      <c r="B1023" s="347" t="s">
        <v>36</v>
      </c>
      <c r="C1023" s="112" t="s">
        <v>93</v>
      </c>
      <c r="D1023" s="112" t="s">
        <v>232</v>
      </c>
      <c r="E1023" s="112" t="s">
        <v>137</v>
      </c>
      <c r="F1023" s="112" t="s">
        <v>180</v>
      </c>
      <c r="G1023" s="112" t="s">
        <v>247</v>
      </c>
      <c r="H1023" s="111"/>
      <c r="I1023" s="78">
        <f>I1024</f>
        <v>2861.6</v>
      </c>
      <c r="J1023" s="78">
        <f>J1024</f>
        <v>4611.6</v>
      </c>
      <c r="K1023" s="348">
        <f t="shared" si="126"/>
        <v>1750.0000000000005</v>
      </c>
      <c r="L1023" s="78">
        <f>L1024</f>
        <v>1000</v>
      </c>
      <c r="M1023" s="78">
        <f>M1024</f>
        <v>2000</v>
      </c>
    </row>
    <row r="1024" spans="1:13" ht="33" customHeight="1">
      <c r="A1024" s="121" t="s">
        <v>763</v>
      </c>
      <c r="B1024" s="347" t="s">
        <v>36</v>
      </c>
      <c r="C1024" s="112" t="s">
        <v>93</v>
      </c>
      <c r="D1024" s="112" t="s">
        <v>232</v>
      </c>
      <c r="E1024" s="112" t="s">
        <v>137</v>
      </c>
      <c r="F1024" s="112" t="s">
        <v>180</v>
      </c>
      <c r="G1024" s="112" t="s">
        <v>247</v>
      </c>
      <c r="H1024" s="111" t="s">
        <v>764</v>
      </c>
      <c r="I1024" s="78">
        <f>1000-785+2187+459.6</f>
        <v>2861.6</v>
      </c>
      <c r="J1024" s="78">
        <f>1000-785+2187+459.6+1750</f>
        <v>4611.6</v>
      </c>
      <c r="K1024" s="348">
        <f t="shared" si="126"/>
        <v>1750.0000000000005</v>
      </c>
      <c r="L1024" s="78">
        <v>1000</v>
      </c>
      <c r="M1024" s="78">
        <v>2000</v>
      </c>
    </row>
    <row r="1025" spans="1:13" ht="36" customHeight="1" hidden="1">
      <c r="A1025" s="121" t="s">
        <v>265</v>
      </c>
      <c r="B1025" s="347">
        <v>119</v>
      </c>
      <c r="C1025" s="112" t="s">
        <v>93</v>
      </c>
      <c r="D1025" s="112" t="s">
        <v>232</v>
      </c>
      <c r="E1025" s="112" t="s">
        <v>137</v>
      </c>
      <c r="F1025" s="112" t="s">
        <v>180</v>
      </c>
      <c r="G1025" s="112" t="s">
        <v>773</v>
      </c>
      <c r="H1025" s="111"/>
      <c r="I1025" s="78">
        <f>I1026</f>
        <v>0</v>
      </c>
      <c r="J1025" s="78">
        <f>J1026</f>
        <v>0</v>
      </c>
      <c r="K1025" s="348">
        <f t="shared" si="126"/>
        <v>0</v>
      </c>
      <c r="L1025" s="78">
        <f>L1026</f>
        <v>0</v>
      </c>
      <c r="M1025" s="78">
        <f>M1026</f>
        <v>0</v>
      </c>
    </row>
    <row r="1026" spans="1:13" ht="30.75" customHeight="1" hidden="1">
      <c r="A1026" s="121" t="s">
        <v>763</v>
      </c>
      <c r="B1026" s="347">
        <v>119</v>
      </c>
      <c r="C1026" s="112" t="s">
        <v>93</v>
      </c>
      <c r="D1026" s="112" t="s">
        <v>232</v>
      </c>
      <c r="E1026" s="112" t="s">
        <v>137</v>
      </c>
      <c r="F1026" s="112" t="s">
        <v>180</v>
      </c>
      <c r="G1026" s="112" t="s">
        <v>773</v>
      </c>
      <c r="H1026" s="111" t="s">
        <v>764</v>
      </c>
      <c r="I1026" s="78">
        <f>208.2-208.2</f>
        <v>0</v>
      </c>
      <c r="J1026" s="78">
        <f>208.2-208.2</f>
        <v>0</v>
      </c>
      <c r="K1026" s="348">
        <f t="shared" si="126"/>
        <v>0</v>
      </c>
      <c r="L1026" s="78"/>
      <c r="M1026" s="78"/>
    </row>
    <row r="1027" spans="1:13" ht="54.75" customHeight="1">
      <c r="A1027" s="121" t="s">
        <v>210</v>
      </c>
      <c r="B1027" s="347">
        <v>119</v>
      </c>
      <c r="C1027" s="112" t="s">
        <v>93</v>
      </c>
      <c r="D1027" s="112" t="s">
        <v>232</v>
      </c>
      <c r="E1027" s="112" t="s">
        <v>137</v>
      </c>
      <c r="F1027" s="112" t="s">
        <v>180</v>
      </c>
      <c r="G1027" s="112" t="s">
        <v>211</v>
      </c>
      <c r="H1027" s="111"/>
      <c r="I1027" s="78">
        <f>I1028</f>
        <v>6279</v>
      </c>
      <c r="J1027" s="78">
        <f>J1028</f>
        <v>6279</v>
      </c>
      <c r="K1027" s="348">
        <f t="shared" si="126"/>
        <v>0</v>
      </c>
      <c r="L1027" s="78">
        <f>L1028</f>
        <v>0</v>
      </c>
      <c r="M1027" s="78">
        <f>M1028</f>
        <v>0</v>
      </c>
    </row>
    <row r="1028" spans="1:13" ht="33" customHeight="1">
      <c r="A1028" s="121" t="s">
        <v>763</v>
      </c>
      <c r="B1028" s="347">
        <v>119</v>
      </c>
      <c r="C1028" s="112" t="s">
        <v>93</v>
      </c>
      <c r="D1028" s="112" t="s">
        <v>232</v>
      </c>
      <c r="E1028" s="112" t="s">
        <v>137</v>
      </c>
      <c r="F1028" s="112" t="s">
        <v>180</v>
      </c>
      <c r="G1028" s="112" t="s">
        <v>211</v>
      </c>
      <c r="H1028" s="111" t="s">
        <v>764</v>
      </c>
      <c r="I1028" s="131">
        <f>6029+250</f>
        <v>6279</v>
      </c>
      <c r="J1028" s="131">
        <f>6029+250</f>
        <v>6279</v>
      </c>
      <c r="K1028" s="348">
        <f t="shared" si="126"/>
        <v>0</v>
      </c>
      <c r="L1028" s="78"/>
      <c r="M1028" s="78"/>
    </row>
    <row r="1029" spans="1:13" ht="21" customHeight="1">
      <c r="A1029" s="121" t="s">
        <v>266</v>
      </c>
      <c r="B1029" s="347">
        <v>119</v>
      </c>
      <c r="C1029" s="112" t="s">
        <v>93</v>
      </c>
      <c r="D1029" s="112" t="s">
        <v>232</v>
      </c>
      <c r="E1029" s="112" t="s">
        <v>137</v>
      </c>
      <c r="F1029" s="112" t="s">
        <v>180</v>
      </c>
      <c r="G1029" s="112" t="s">
        <v>267</v>
      </c>
      <c r="H1029" s="111"/>
      <c r="I1029" s="78">
        <f>I1030</f>
        <v>5857</v>
      </c>
      <c r="J1029" s="78">
        <f>J1030</f>
        <v>5857</v>
      </c>
      <c r="K1029" s="348">
        <f t="shared" si="126"/>
        <v>0</v>
      </c>
      <c r="L1029" s="78">
        <f>L1030</f>
        <v>0</v>
      </c>
      <c r="M1029" s="78">
        <f>M1030</f>
        <v>0</v>
      </c>
    </row>
    <row r="1030" spans="1:13" ht="35.25" customHeight="1">
      <c r="A1030" s="121" t="s">
        <v>763</v>
      </c>
      <c r="B1030" s="347">
        <v>119</v>
      </c>
      <c r="C1030" s="112" t="s">
        <v>93</v>
      </c>
      <c r="D1030" s="112" t="s">
        <v>232</v>
      </c>
      <c r="E1030" s="112" t="s">
        <v>137</v>
      </c>
      <c r="F1030" s="112" t="s">
        <v>180</v>
      </c>
      <c r="G1030" s="112" t="s">
        <v>267</v>
      </c>
      <c r="H1030" s="111" t="s">
        <v>764</v>
      </c>
      <c r="I1030" s="78">
        <f>5000+857</f>
        <v>5857</v>
      </c>
      <c r="J1030" s="78">
        <f>5000+857</f>
        <v>5857</v>
      </c>
      <c r="K1030" s="348">
        <f t="shared" si="126"/>
        <v>0</v>
      </c>
      <c r="L1030" s="78"/>
      <c r="M1030" s="78"/>
    </row>
    <row r="1031" spans="1:13" ht="35.25" customHeight="1">
      <c r="A1031" s="121" t="s">
        <v>1087</v>
      </c>
      <c r="B1031" s="347">
        <v>119</v>
      </c>
      <c r="C1031" s="112" t="s">
        <v>93</v>
      </c>
      <c r="D1031" s="112" t="s">
        <v>232</v>
      </c>
      <c r="E1031" s="112" t="s">
        <v>137</v>
      </c>
      <c r="F1031" s="112" t="s">
        <v>180</v>
      </c>
      <c r="G1031" s="112" t="s">
        <v>1088</v>
      </c>
      <c r="H1031" s="111"/>
      <c r="I1031" s="78">
        <f>I1032</f>
        <v>56976</v>
      </c>
      <c r="J1031" s="78">
        <f>J1032</f>
        <v>56976</v>
      </c>
      <c r="K1031" s="348">
        <f t="shared" si="126"/>
        <v>0</v>
      </c>
      <c r="L1031" s="78">
        <f>L1032</f>
        <v>301260</v>
      </c>
      <c r="M1031" s="78">
        <f>M1032</f>
        <v>563860</v>
      </c>
    </row>
    <row r="1032" spans="1:13" ht="35.25" customHeight="1">
      <c r="A1032" s="121" t="s">
        <v>771</v>
      </c>
      <c r="B1032" s="347">
        <v>119</v>
      </c>
      <c r="C1032" s="112" t="s">
        <v>93</v>
      </c>
      <c r="D1032" s="112" t="s">
        <v>232</v>
      </c>
      <c r="E1032" s="112" t="s">
        <v>137</v>
      </c>
      <c r="F1032" s="112" t="s">
        <v>180</v>
      </c>
      <c r="G1032" s="112" t="s">
        <v>1088</v>
      </c>
      <c r="H1032" s="111" t="s">
        <v>768</v>
      </c>
      <c r="I1032" s="78">
        <f>50000+6976</f>
        <v>56976</v>
      </c>
      <c r="J1032" s="78">
        <f>50000+6976</f>
        <v>56976</v>
      </c>
      <c r="K1032" s="348">
        <f t="shared" si="126"/>
        <v>0</v>
      </c>
      <c r="L1032" s="78">
        <f>260000+41260</f>
        <v>301260</v>
      </c>
      <c r="M1032" s="78">
        <f>522600+41260</f>
        <v>563860</v>
      </c>
    </row>
    <row r="1033" spans="1:13" ht="36" customHeight="1" hidden="1">
      <c r="A1033" s="121" t="s">
        <v>1087</v>
      </c>
      <c r="B1033" s="347">
        <v>119</v>
      </c>
      <c r="C1033" s="112" t="s">
        <v>93</v>
      </c>
      <c r="D1033" s="112" t="s">
        <v>232</v>
      </c>
      <c r="E1033" s="112" t="s">
        <v>137</v>
      </c>
      <c r="F1033" s="112" t="s">
        <v>180</v>
      </c>
      <c r="G1033" s="112" t="s">
        <v>1088</v>
      </c>
      <c r="H1033" s="111"/>
      <c r="I1033" s="78">
        <f>I1034</f>
        <v>0</v>
      </c>
      <c r="J1033" s="78">
        <f>J1034</f>
        <v>0</v>
      </c>
      <c r="K1033" s="348">
        <f t="shared" si="126"/>
        <v>0</v>
      </c>
      <c r="L1033" s="78">
        <f>L1034</f>
        <v>0</v>
      </c>
      <c r="M1033" s="78">
        <f>M1034</f>
        <v>0</v>
      </c>
    </row>
    <row r="1034" spans="1:13" ht="32.25" customHeight="1" hidden="1">
      <c r="A1034" s="121" t="s">
        <v>763</v>
      </c>
      <c r="B1034" s="347">
        <v>119</v>
      </c>
      <c r="C1034" s="112" t="s">
        <v>93</v>
      </c>
      <c r="D1034" s="112" t="s">
        <v>232</v>
      </c>
      <c r="E1034" s="112" t="s">
        <v>137</v>
      </c>
      <c r="F1034" s="112" t="s">
        <v>180</v>
      </c>
      <c r="G1034" s="112" t="s">
        <v>1088</v>
      </c>
      <c r="H1034" s="111" t="s">
        <v>764</v>
      </c>
      <c r="I1034" s="78">
        <f>6976-6976</f>
        <v>0</v>
      </c>
      <c r="J1034" s="78">
        <f>6976-6976</f>
        <v>0</v>
      </c>
      <c r="K1034" s="348">
        <f t="shared" si="126"/>
        <v>0</v>
      </c>
      <c r="L1034" s="78">
        <f>41260-41260</f>
        <v>0</v>
      </c>
      <c r="M1034" s="78">
        <f>41260-41260</f>
        <v>0</v>
      </c>
    </row>
    <row r="1035" spans="1:13" ht="24" customHeight="1">
      <c r="A1035" s="139" t="s">
        <v>1144</v>
      </c>
      <c r="B1035" s="343">
        <v>119</v>
      </c>
      <c r="C1035" s="107" t="s">
        <v>93</v>
      </c>
      <c r="D1035" s="107" t="s">
        <v>232</v>
      </c>
      <c r="E1035" s="107" t="s">
        <v>137</v>
      </c>
      <c r="F1035" s="107" t="s">
        <v>1145</v>
      </c>
      <c r="G1035" s="107" t="s">
        <v>156</v>
      </c>
      <c r="H1035" s="71"/>
      <c r="I1035" s="37">
        <f>I1036</f>
        <v>177.6</v>
      </c>
      <c r="J1035" s="37">
        <f>J1036</f>
        <v>5022.1</v>
      </c>
      <c r="K1035" s="344">
        <f t="shared" si="126"/>
        <v>4844.5</v>
      </c>
      <c r="L1035" s="37">
        <f>L1036</f>
        <v>0</v>
      </c>
      <c r="M1035" s="37">
        <f>M1036</f>
        <v>0</v>
      </c>
    </row>
    <row r="1036" spans="1:13" ht="31.5" customHeight="1">
      <c r="A1036" s="121" t="s">
        <v>1147</v>
      </c>
      <c r="B1036" s="347">
        <v>119</v>
      </c>
      <c r="C1036" s="112" t="s">
        <v>93</v>
      </c>
      <c r="D1036" s="112" t="s">
        <v>232</v>
      </c>
      <c r="E1036" s="112" t="s">
        <v>137</v>
      </c>
      <c r="F1036" s="112" t="s">
        <v>1145</v>
      </c>
      <c r="G1036" s="112" t="s">
        <v>1146</v>
      </c>
      <c r="H1036" s="111"/>
      <c r="I1036" s="78">
        <f>I1037</f>
        <v>177.6</v>
      </c>
      <c r="J1036" s="78">
        <f>J1037</f>
        <v>5022.1</v>
      </c>
      <c r="K1036" s="348">
        <f t="shared" si="126"/>
        <v>4844.5</v>
      </c>
      <c r="L1036" s="78">
        <f>L1037</f>
        <v>0</v>
      </c>
      <c r="M1036" s="78">
        <f>M1037</f>
        <v>0</v>
      </c>
    </row>
    <row r="1037" spans="1:13" ht="32.25" customHeight="1">
      <c r="A1037" s="121" t="s">
        <v>763</v>
      </c>
      <c r="B1037" s="347">
        <v>119</v>
      </c>
      <c r="C1037" s="112" t="s">
        <v>93</v>
      </c>
      <c r="D1037" s="112" t="s">
        <v>232</v>
      </c>
      <c r="E1037" s="112" t="s">
        <v>137</v>
      </c>
      <c r="F1037" s="112" t="s">
        <v>1145</v>
      </c>
      <c r="G1037" s="112" t="s">
        <v>1146</v>
      </c>
      <c r="H1037" s="347">
        <v>600</v>
      </c>
      <c r="I1037" s="78">
        <v>177.6</v>
      </c>
      <c r="J1037" s="78">
        <f>177.6+4844.5</f>
        <v>5022.1</v>
      </c>
      <c r="K1037" s="348">
        <f t="shared" si="126"/>
        <v>4844.5</v>
      </c>
      <c r="L1037" s="78"/>
      <c r="M1037" s="78"/>
    </row>
    <row r="1038" spans="1:13" ht="22.5" customHeight="1">
      <c r="A1038" s="139" t="s">
        <v>1137</v>
      </c>
      <c r="B1038" s="343">
        <v>119</v>
      </c>
      <c r="C1038" s="107" t="s">
        <v>93</v>
      </c>
      <c r="D1038" s="107" t="s">
        <v>232</v>
      </c>
      <c r="E1038" s="107" t="s">
        <v>137</v>
      </c>
      <c r="F1038" s="107" t="s">
        <v>1138</v>
      </c>
      <c r="G1038" s="107" t="s">
        <v>156</v>
      </c>
      <c r="H1038" s="71"/>
      <c r="I1038" s="37">
        <f>I1039</f>
        <v>2350.7999999999997</v>
      </c>
      <c r="J1038" s="37">
        <f>J1039</f>
        <v>2350.7999999999997</v>
      </c>
      <c r="K1038" s="344">
        <f t="shared" si="126"/>
        <v>0</v>
      </c>
      <c r="L1038" s="37">
        <f>L1039</f>
        <v>0</v>
      </c>
      <c r="M1038" s="37">
        <f>M1039</f>
        <v>0</v>
      </c>
    </row>
    <row r="1039" spans="1:13" ht="34.5" customHeight="1">
      <c r="A1039" s="121" t="s">
        <v>1139</v>
      </c>
      <c r="B1039" s="347">
        <v>119</v>
      </c>
      <c r="C1039" s="112" t="s">
        <v>93</v>
      </c>
      <c r="D1039" s="112" t="s">
        <v>232</v>
      </c>
      <c r="E1039" s="112" t="s">
        <v>137</v>
      </c>
      <c r="F1039" s="112" t="s">
        <v>1138</v>
      </c>
      <c r="G1039" s="112" t="s">
        <v>1140</v>
      </c>
      <c r="H1039" s="111"/>
      <c r="I1039" s="78">
        <f>I1040</f>
        <v>2350.7999999999997</v>
      </c>
      <c r="J1039" s="78">
        <f>J1040</f>
        <v>2350.7999999999997</v>
      </c>
      <c r="K1039" s="348">
        <f t="shared" si="126"/>
        <v>0</v>
      </c>
      <c r="L1039" s="78">
        <f>L1040</f>
        <v>0</v>
      </c>
      <c r="M1039" s="78">
        <f>M1040</f>
        <v>0</v>
      </c>
    </row>
    <row r="1040" spans="1:13" ht="35.25" customHeight="1">
      <c r="A1040" s="121" t="s">
        <v>763</v>
      </c>
      <c r="B1040" s="347">
        <v>119</v>
      </c>
      <c r="C1040" s="112" t="s">
        <v>93</v>
      </c>
      <c r="D1040" s="112" t="s">
        <v>232</v>
      </c>
      <c r="E1040" s="112" t="s">
        <v>137</v>
      </c>
      <c r="F1040" s="112" t="s">
        <v>1138</v>
      </c>
      <c r="G1040" s="112" t="s">
        <v>1140</v>
      </c>
      <c r="H1040" s="111" t="s">
        <v>764</v>
      </c>
      <c r="I1040" s="78">
        <f>2115.7+208.2+26.9</f>
        <v>2350.7999999999997</v>
      </c>
      <c r="J1040" s="78">
        <f>2115.7+208.2+26.9</f>
        <v>2350.7999999999997</v>
      </c>
      <c r="K1040" s="348">
        <f t="shared" si="126"/>
        <v>0</v>
      </c>
      <c r="L1040" s="78"/>
      <c r="M1040" s="78"/>
    </row>
    <row r="1041" spans="1:13" s="355" customFormat="1" ht="16.5" customHeight="1">
      <c r="A1041" s="139" t="s">
        <v>441</v>
      </c>
      <c r="B1041" s="343" t="s">
        <v>36</v>
      </c>
      <c r="C1041" s="107" t="s">
        <v>93</v>
      </c>
      <c r="D1041" s="107" t="s">
        <v>442</v>
      </c>
      <c r="E1041" s="107" t="s">
        <v>154</v>
      </c>
      <c r="F1041" s="71" t="s">
        <v>155</v>
      </c>
      <c r="G1041" s="107" t="s">
        <v>156</v>
      </c>
      <c r="H1041" s="71"/>
      <c r="I1041" s="37">
        <f aca="true" t="shared" si="127" ref="I1041:M1044">I1042</f>
        <v>319.9</v>
      </c>
      <c r="J1041" s="37">
        <f t="shared" si="127"/>
        <v>319.9</v>
      </c>
      <c r="K1041" s="344">
        <f t="shared" si="126"/>
        <v>0</v>
      </c>
      <c r="L1041" s="37">
        <f t="shared" si="127"/>
        <v>0</v>
      </c>
      <c r="M1041" s="37">
        <f t="shared" si="127"/>
        <v>0</v>
      </c>
    </row>
    <row r="1042" spans="1:13" s="355" customFormat="1" ht="17.25" customHeight="1">
      <c r="A1042" s="136" t="s">
        <v>410</v>
      </c>
      <c r="B1042" s="343" t="s">
        <v>36</v>
      </c>
      <c r="C1042" s="107" t="s">
        <v>93</v>
      </c>
      <c r="D1042" s="107" t="s">
        <v>442</v>
      </c>
      <c r="E1042" s="107" t="s">
        <v>338</v>
      </c>
      <c r="F1042" s="71" t="s">
        <v>155</v>
      </c>
      <c r="G1042" s="107" t="s">
        <v>156</v>
      </c>
      <c r="H1042" s="71"/>
      <c r="I1042" s="37">
        <f t="shared" si="127"/>
        <v>319.9</v>
      </c>
      <c r="J1042" s="37">
        <f t="shared" si="127"/>
        <v>319.9</v>
      </c>
      <c r="K1042" s="344">
        <f t="shared" si="126"/>
        <v>0</v>
      </c>
      <c r="L1042" s="37">
        <f t="shared" si="127"/>
        <v>0</v>
      </c>
      <c r="M1042" s="37">
        <f t="shared" si="127"/>
        <v>0</v>
      </c>
    </row>
    <row r="1043" spans="1:13" s="355" customFormat="1" ht="18" customHeight="1">
      <c r="A1043" s="137" t="s">
        <v>410</v>
      </c>
      <c r="B1043" s="343" t="s">
        <v>36</v>
      </c>
      <c r="C1043" s="107" t="s">
        <v>93</v>
      </c>
      <c r="D1043" s="107" t="s">
        <v>442</v>
      </c>
      <c r="E1043" s="107" t="s">
        <v>338</v>
      </c>
      <c r="F1043" s="71" t="s">
        <v>153</v>
      </c>
      <c r="G1043" s="107" t="s">
        <v>156</v>
      </c>
      <c r="H1043" s="71"/>
      <c r="I1043" s="37">
        <f>I1044+I1050+I1046+I1048</f>
        <v>319.9</v>
      </c>
      <c r="J1043" s="37">
        <f>J1044+J1050+J1046+J1048</f>
        <v>319.9</v>
      </c>
      <c r="K1043" s="344">
        <f t="shared" si="126"/>
        <v>0</v>
      </c>
      <c r="L1043" s="37">
        <f>L1044+L1050+L1046+L1048</f>
        <v>0</v>
      </c>
      <c r="M1043" s="37">
        <f>M1044+M1050+M1046+M1048</f>
        <v>0</v>
      </c>
    </row>
    <row r="1044" spans="1:13" s="355" customFormat="1" ht="39" customHeight="1" hidden="1">
      <c r="A1044" s="373" t="s">
        <v>244</v>
      </c>
      <c r="B1044" s="347" t="s">
        <v>36</v>
      </c>
      <c r="C1044" s="112" t="s">
        <v>93</v>
      </c>
      <c r="D1044" s="112" t="s">
        <v>442</v>
      </c>
      <c r="E1044" s="112" t="s">
        <v>338</v>
      </c>
      <c r="F1044" s="111" t="s">
        <v>153</v>
      </c>
      <c r="G1044" s="112" t="s">
        <v>209</v>
      </c>
      <c r="H1044" s="111"/>
      <c r="I1044" s="78">
        <f t="shared" si="127"/>
        <v>0</v>
      </c>
      <c r="J1044" s="78">
        <f t="shared" si="127"/>
        <v>0</v>
      </c>
      <c r="K1044" s="348">
        <f t="shared" si="126"/>
        <v>0</v>
      </c>
      <c r="L1044" s="78">
        <f t="shared" si="127"/>
        <v>0</v>
      </c>
      <c r="M1044" s="78">
        <f t="shared" si="127"/>
        <v>0</v>
      </c>
    </row>
    <row r="1045" spans="1:13" s="355" customFormat="1" ht="42" customHeight="1" hidden="1">
      <c r="A1045" s="121" t="s">
        <v>763</v>
      </c>
      <c r="B1045" s="347" t="s">
        <v>36</v>
      </c>
      <c r="C1045" s="112" t="s">
        <v>93</v>
      </c>
      <c r="D1045" s="112" t="s">
        <v>442</v>
      </c>
      <c r="E1045" s="112" t="s">
        <v>338</v>
      </c>
      <c r="F1045" s="111" t="s">
        <v>153</v>
      </c>
      <c r="G1045" s="112" t="s">
        <v>209</v>
      </c>
      <c r="H1045" s="111" t="s">
        <v>764</v>
      </c>
      <c r="I1045" s="78"/>
      <c r="J1045" s="78"/>
      <c r="K1045" s="348">
        <f t="shared" si="126"/>
        <v>0</v>
      </c>
      <c r="L1045" s="78"/>
      <c r="M1045" s="78"/>
    </row>
    <row r="1046" spans="1:13" s="355" customFormat="1" ht="30.75" customHeight="1">
      <c r="A1046" s="373" t="s">
        <v>263</v>
      </c>
      <c r="B1046" s="347" t="s">
        <v>36</v>
      </c>
      <c r="C1046" s="112" t="s">
        <v>93</v>
      </c>
      <c r="D1046" s="112" t="s">
        <v>442</v>
      </c>
      <c r="E1046" s="112" t="s">
        <v>338</v>
      </c>
      <c r="F1046" s="111" t="s">
        <v>153</v>
      </c>
      <c r="G1046" s="112" t="s">
        <v>264</v>
      </c>
      <c r="H1046" s="111"/>
      <c r="I1046" s="78">
        <f>I1047</f>
        <v>219.9</v>
      </c>
      <c r="J1046" s="78">
        <f>J1047</f>
        <v>219.9</v>
      </c>
      <c r="K1046" s="348">
        <f t="shared" si="126"/>
        <v>0</v>
      </c>
      <c r="L1046" s="78">
        <f>L1047</f>
        <v>0</v>
      </c>
      <c r="M1046" s="78">
        <f>M1047</f>
        <v>0</v>
      </c>
    </row>
    <row r="1047" spans="1:13" s="355" customFormat="1" ht="34.5" customHeight="1">
      <c r="A1047" s="121" t="s">
        <v>763</v>
      </c>
      <c r="B1047" s="347" t="s">
        <v>36</v>
      </c>
      <c r="C1047" s="112" t="s">
        <v>93</v>
      </c>
      <c r="D1047" s="112" t="s">
        <v>442</v>
      </c>
      <c r="E1047" s="112" t="s">
        <v>338</v>
      </c>
      <c r="F1047" s="111" t="s">
        <v>153</v>
      </c>
      <c r="G1047" s="112" t="s">
        <v>264</v>
      </c>
      <c r="H1047" s="111" t="s">
        <v>764</v>
      </c>
      <c r="I1047" s="78">
        <v>219.9</v>
      </c>
      <c r="J1047" s="78">
        <v>219.9</v>
      </c>
      <c r="K1047" s="348">
        <f t="shared" si="126"/>
        <v>0</v>
      </c>
      <c r="L1047" s="78"/>
      <c r="M1047" s="78"/>
    </row>
    <row r="1048" spans="1:13" s="355" customFormat="1" ht="25.5" customHeight="1">
      <c r="A1048" s="114" t="s">
        <v>1092</v>
      </c>
      <c r="B1048" s="347" t="s">
        <v>36</v>
      </c>
      <c r="C1048" s="112" t="s">
        <v>93</v>
      </c>
      <c r="D1048" s="112" t="s">
        <v>442</v>
      </c>
      <c r="E1048" s="112" t="s">
        <v>338</v>
      </c>
      <c r="F1048" s="111" t="s">
        <v>153</v>
      </c>
      <c r="G1048" s="112" t="s">
        <v>247</v>
      </c>
      <c r="H1048" s="111"/>
      <c r="I1048" s="78">
        <f>I1049</f>
        <v>100</v>
      </c>
      <c r="J1048" s="78">
        <f>J1049</f>
        <v>100</v>
      </c>
      <c r="K1048" s="348">
        <f t="shared" si="126"/>
        <v>0</v>
      </c>
      <c r="L1048" s="78">
        <f>L1049</f>
        <v>0</v>
      </c>
      <c r="M1048" s="78">
        <f>M1049</f>
        <v>0</v>
      </c>
    </row>
    <row r="1049" spans="1:13" s="355" customFormat="1" ht="29.25" customHeight="1">
      <c r="A1049" s="121" t="s">
        <v>763</v>
      </c>
      <c r="B1049" s="347" t="s">
        <v>36</v>
      </c>
      <c r="C1049" s="112" t="s">
        <v>93</v>
      </c>
      <c r="D1049" s="112" t="s">
        <v>442</v>
      </c>
      <c r="E1049" s="112" t="s">
        <v>338</v>
      </c>
      <c r="F1049" s="111" t="s">
        <v>153</v>
      </c>
      <c r="G1049" s="112" t="s">
        <v>247</v>
      </c>
      <c r="H1049" s="111" t="s">
        <v>764</v>
      </c>
      <c r="I1049" s="78">
        <v>100</v>
      </c>
      <c r="J1049" s="78">
        <v>100</v>
      </c>
      <c r="K1049" s="348">
        <f t="shared" si="126"/>
        <v>0</v>
      </c>
      <c r="L1049" s="78"/>
      <c r="M1049" s="78"/>
    </row>
    <row r="1050" spans="1:13" s="355" customFormat="1" ht="49.5" customHeight="1" hidden="1">
      <c r="A1050" s="114" t="s">
        <v>342</v>
      </c>
      <c r="B1050" s="347" t="s">
        <v>36</v>
      </c>
      <c r="C1050" s="112" t="s">
        <v>93</v>
      </c>
      <c r="D1050" s="112" t="s">
        <v>442</v>
      </c>
      <c r="E1050" s="129">
        <v>9</v>
      </c>
      <c r="F1050" s="112" t="s">
        <v>153</v>
      </c>
      <c r="G1050" s="112" t="s">
        <v>343</v>
      </c>
      <c r="H1050" s="129"/>
      <c r="I1050" s="78">
        <f>I1051</f>
        <v>0</v>
      </c>
      <c r="J1050" s="78">
        <f>J1051</f>
        <v>0</v>
      </c>
      <c r="K1050" s="348">
        <f t="shared" si="126"/>
        <v>0</v>
      </c>
      <c r="L1050" s="78">
        <f>L1051</f>
        <v>0</v>
      </c>
      <c r="M1050" s="78">
        <f>M1051</f>
        <v>0</v>
      </c>
    </row>
    <row r="1051" spans="1:13" s="355" customFormat="1" ht="30" customHeight="1" hidden="1">
      <c r="A1051" s="114" t="s">
        <v>763</v>
      </c>
      <c r="B1051" s="347" t="s">
        <v>36</v>
      </c>
      <c r="C1051" s="112" t="s">
        <v>93</v>
      </c>
      <c r="D1051" s="112" t="s">
        <v>442</v>
      </c>
      <c r="E1051" s="129">
        <v>9</v>
      </c>
      <c r="F1051" s="112" t="s">
        <v>153</v>
      </c>
      <c r="G1051" s="112" t="s">
        <v>343</v>
      </c>
      <c r="H1051" s="129">
        <v>600</v>
      </c>
      <c r="I1051" s="78"/>
      <c r="J1051" s="78"/>
      <c r="K1051" s="348">
        <f t="shared" si="126"/>
        <v>0</v>
      </c>
      <c r="L1051" s="78"/>
      <c r="M1051" s="78"/>
    </row>
    <row r="1052" spans="1:13" s="355" customFormat="1" ht="18" customHeight="1">
      <c r="A1052" s="139" t="s">
        <v>94</v>
      </c>
      <c r="B1052" s="343">
        <v>119</v>
      </c>
      <c r="C1052" s="107" t="s">
        <v>95</v>
      </c>
      <c r="D1052" s="107"/>
      <c r="E1052" s="107"/>
      <c r="F1052" s="71"/>
      <c r="G1052" s="107"/>
      <c r="H1052" s="71"/>
      <c r="I1052" s="37">
        <f aca="true" t="shared" si="128" ref="I1052:M1053">I1053</f>
        <v>167033</v>
      </c>
      <c r="J1052" s="37">
        <f t="shared" si="128"/>
        <v>167611.5</v>
      </c>
      <c r="K1052" s="344">
        <f t="shared" si="126"/>
        <v>578.5</v>
      </c>
      <c r="L1052" s="37">
        <f t="shared" si="128"/>
        <v>160156.8</v>
      </c>
      <c r="M1052" s="37">
        <f t="shared" si="128"/>
        <v>161370.8</v>
      </c>
    </row>
    <row r="1053" spans="1:13" s="355" customFormat="1" ht="34.5" customHeight="1">
      <c r="A1053" s="139" t="s">
        <v>231</v>
      </c>
      <c r="B1053" s="343">
        <v>119</v>
      </c>
      <c r="C1053" s="107" t="s">
        <v>95</v>
      </c>
      <c r="D1053" s="107" t="s">
        <v>232</v>
      </c>
      <c r="E1053" s="107" t="s">
        <v>154</v>
      </c>
      <c r="F1053" s="71" t="s">
        <v>155</v>
      </c>
      <c r="G1053" s="107" t="s">
        <v>156</v>
      </c>
      <c r="H1053" s="71"/>
      <c r="I1053" s="37">
        <f t="shared" si="128"/>
        <v>167033</v>
      </c>
      <c r="J1053" s="37">
        <f t="shared" si="128"/>
        <v>167611.5</v>
      </c>
      <c r="K1053" s="344">
        <f t="shared" si="126"/>
        <v>578.5</v>
      </c>
      <c r="L1053" s="37">
        <f t="shared" si="128"/>
        <v>160156.8</v>
      </c>
      <c r="M1053" s="37">
        <f t="shared" si="128"/>
        <v>161370.8</v>
      </c>
    </row>
    <row r="1054" spans="1:13" s="355" customFormat="1" ht="33.75" customHeight="1">
      <c r="A1054" s="139" t="s">
        <v>497</v>
      </c>
      <c r="B1054" s="343" t="s">
        <v>36</v>
      </c>
      <c r="C1054" s="107" t="s">
        <v>95</v>
      </c>
      <c r="D1054" s="71" t="s">
        <v>232</v>
      </c>
      <c r="E1054" s="71" t="s">
        <v>139</v>
      </c>
      <c r="F1054" s="71" t="s">
        <v>155</v>
      </c>
      <c r="G1054" s="71" t="s">
        <v>156</v>
      </c>
      <c r="H1054" s="71"/>
      <c r="I1054" s="37">
        <f>I1055+I1064</f>
        <v>167033</v>
      </c>
      <c r="J1054" s="37">
        <f>J1055+J1064</f>
        <v>167611.5</v>
      </c>
      <c r="K1054" s="344">
        <f t="shared" si="126"/>
        <v>578.5</v>
      </c>
      <c r="L1054" s="37">
        <f>L1055+L1064</f>
        <v>160156.8</v>
      </c>
      <c r="M1054" s="37">
        <f>M1055+M1064</f>
        <v>161370.8</v>
      </c>
    </row>
    <row r="1055" spans="1:13" s="355" customFormat="1" ht="34.5" customHeight="1">
      <c r="A1055" s="137" t="s">
        <v>268</v>
      </c>
      <c r="B1055" s="343">
        <v>119</v>
      </c>
      <c r="C1055" s="107" t="s">
        <v>95</v>
      </c>
      <c r="D1055" s="71" t="s">
        <v>232</v>
      </c>
      <c r="E1055" s="71" t="s">
        <v>139</v>
      </c>
      <c r="F1055" s="71" t="s">
        <v>153</v>
      </c>
      <c r="G1055" s="71" t="s">
        <v>156</v>
      </c>
      <c r="H1055" s="71"/>
      <c r="I1055" s="37">
        <f>I1056+I1058+I1060+I1062</f>
        <v>157941</v>
      </c>
      <c r="J1055" s="37">
        <f>J1056+J1058+J1060+J1062</f>
        <v>157941</v>
      </c>
      <c r="K1055" s="344">
        <f t="shared" si="126"/>
        <v>0</v>
      </c>
      <c r="L1055" s="37">
        <f>L1056+L1058+L1060+L1062</f>
        <v>156258</v>
      </c>
      <c r="M1055" s="37">
        <f>M1056+M1058+M1060+M1062</f>
        <v>157022</v>
      </c>
    </row>
    <row r="1056" spans="1:13" s="355" customFormat="1" ht="33.75" customHeight="1">
      <c r="A1056" s="123" t="s">
        <v>511</v>
      </c>
      <c r="B1056" s="347">
        <v>119</v>
      </c>
      <c r="C1056" s="112" t="s">
        <v>95</v>
      </c>
      <c r="D1056" s="111" t="s">
        <v>232</v>
      </c>
      <c r="E1056" s="111" t="s">
        <v>139</v>
      </c>
      <c r="F1056" s="111" t="s">
        <v>153</v>
      </c>
      <c r="G1056" s="112" t="s">
        <v>201</v>
      </c>
      <c r="H1056" s="111"/>
      <c r="I1056" s="78">
        <f>I1057</f>
        <v>157391</v>
      </c>
      <c r="J1056" s="78">
        <f>J1057</f>
        <v>140939</v>
      </c>
      <c r="K1056" s="348">
        <f t="shared" si="126"/>
        <v>-16452</v>
      </c>
      <c r="L1056" s="78">
        <f>L1057</f>
        <v>155630</v>
      </c>
      <c r="M1056" s="78">
        <f>M1057</f>
        <v>156345</v>
      </c>
    </row>
    <row r="1057" spans="1:13" s="355" customFormat="1" ht="32.25" customHeight="1">
      <c r="A1057" s="123" t="s">
        <v>763</v>
      </c>
      <c r="B1057" s="347">
        <v>119</v>
      </c>
      <c r="C1057" s="112" t="s">
        <v>95</v>
      </c>
      <c r="D1057" s="111" t="s">
        <v>232</v>
      </c>
      <c r="E1057" s="111" t="s">
        <v>139</v>
      </c>
      <c r="F1057" s="111" t="s">
        <v>153</v>
      </c>
      <c r="G1057" s="112" t="s">
        <v>201</v>
      </c>
      <c r="H1057" s="111" t="s">
        <v>764</v>
      </c>
      <c r="I1057" s="78">
        <f>153641+3750</f>
        <v>157391</v>
      </c>
      <c r="J1057" s="78">
        <f>153641+3750-16452</f>
        <v>140939</v>
      </c>
      <c r="K1057" s="348">
        <f t="shared" si="126"/>
        <v>-16452</v>
      </c>
      <c r="L1057" s="78">
        <v>155630</v>
      </c>
      <c r="M1057" s="78">
        <v>156345</v>
      </c>
    </row>
    <row r="1058" spans="1:13" s="355" customFormat="1" ht="21" customHeight="1">
      <c r="A1058" s="373" t="s">
        <v>255</v>
      </c>
      <c r="B1058" s="347" t="s">
        <v>36</v>
      </c>
      <c r="C1058" s="112" t="s">
        <v>95</v>
      </c>
      <c r="D1058" s="112" t="s">
        <v>232</v>
      </c>
      <c r="E1058" s="112" t="s">
        <v>139</v>
      </c>
      <c r="F1058" s="112" t="s">
        <v>153</v>
      </c>
      <c r="G1058" s="112" t="s">
        <v>256</v>
      </c>
      <c r="H1058" s="111"/>
      <c r="I1058" s="78">
        <f>I1059</f>
        <v>400</v>
      </c>
      <c r="J1058" s="78">
        <f>J1059</f>
        <v>400</v>
      </c>
      <c r="K1058" s="348">
        <f t="shared" si="126"/>
        <v>0</v>
      </c>
      <c r="L1058" s="78">
        <f>L1059</f>
        <v>428</v>
      </c>
      <c r="M1058" s="78">
        <f>M1059</f>
        <v>427</v>
      </c>
    </row>
    <row r="1059" spans="1:13" s="355" customFormat="1" ht="33" customHeight="1">
      <c r="A1059" s="121" t="s">
        <v>763</v>
      </c>
      <c r="B1059" s="347" t="s">
        <v>36</v>
      </c>
      <c r="C1059" s="112" t="s">
        <v>95</v>
      </c>
      <c r="D1059" s="112" t="s">
        <v>232</v>
      </c>
      <c r="E1059" s="112" t="s">
        <v>139</v>
      </c>
      <c r="F1059" s="112" t="s">
        <v>153</v>
      </c>
      <c r="G1059" s="112" t="s">
        <v>256</v>
      </c>
      <c r="H1059" s="111" t="s">
        <v>764</v>
      </c>
      <c r="I1059" s="78">
        <f>238+22+140</f>
        <v>400</v>
      </c>
      <c r="J1059" s="78">
        <f>238+22+140</f>
        <v>400</v>
      </c>
      <c r="K1059" s="348">
        <f t="shared" si="126"/>
        <v>0</v>
      </c>
      <c r="L1059" s="78">
        <v>428</v>
      </c>
      <c r="M1059" s="78">
        <v>427</v>
      </c>
    </row>
    <row r="1060" spans="1:13" s="355" customFormat="1" ht="18.75" customHeight="1">
      <c r="A1060" s="123" t="s">
        <v>269</v>
      </c>
      <c r="B1060" s="347" t="s">
        <v>36</v>
      </c>
      <c r="C1060" s="112" t="s">
        <v>95</v>
      </c>
      <c r="D1060" s="112" t="s">
        <v>232</v>
      </c>
      <c r="E1060" s="112" t="s">
        <v>139</v>
      </c>
      <c r="F1060" s="112" t="s">
        <v>153</v>
      </c>
      <c r="G1060" s="112" t="s">
        <v>270</v>
      </c>
      <c r="H1060" s="111"/>
      <c r="I1060" s="78">
        <f>I1061</f>
        <v>150</v>
      </c>
      <c r="J1060" s="78">
        <f>J1061</f>
        <v>150</v>
      </c>
      <c r="K1060" s="348">
        <f t="shared" si="126"/>
        <v>0</v>
      </c>
      <c r="L1060" s="78">
        <f>L1061</f>
        <v>200</v>
      </c>
      <c r="M1060" s="78">
        <f>M1061</f>
        <v>250</v>
      </c>
    </row>
    <row r="1061" spans="1:13" s="355" customFormat="1" ht="32.25" customHeight="1">
      <c r="A1061" s="121" t="s">
        <v>763</v>
      </c>
      <c r="B1061" s="347" t="s">
        <v>36</v>
      </c>
      <c r="C1061" s="112" t="s">
        <v>95</v>
      </c>
      <c r="D1061" s="112" t="s">
        <v>232</v>
      </c>
      <c r="E1061" s="112" t="s">
        <v>139</v>
      </c>
      <c r="F1061" s="112" t="s">
        <v>153</v>
      </c>
      <c r="G1061" s="112" t="s">
        <v>270</v>
      </c>
      <c r="H1061" s="111" t="s">
        <v>764</v>
      </c>
      <c r="I1061" s="78">
        <v>150</v>
      </c>
      <c r="J1061" s="78">
        <v>150</v>
      </c>
      <c r="K1061" s="348">
        <f t="shared" si="126"/>
        <v>0</v>
      </c>
      <c r="L1061" s="78">
        <v>200</v>
      </c>
      <c r="M1061" s="78">
        <v>250</v>
      </c>
    </row>
    <row r="1062" spans="1:13" s="355" customFormat="1" ht="32.25" customHeight="1">
      <c r="A1062" s="121" t="s">
        <v>1225</v>
      </c>
      <c r="B1062" s="347" t="s">
        <v>36</v>
      </c>
      <c r="C1062" s="112" t="s">
        <v>95</v>
      </c>
      <c r="D1062" s="112" t="s">
        <v>232</v>
      </c>
      <c r="E1062" s="112" t="s">
        <v>139</v>
      </c>
      <c r="F1062" s="112" t="s">
        <v>153</v>
      </c>
      <c r="G1062" s="112" t="s">
        <v>1219</v>
      </c>
      <c r="H1062" s="111"/>
      <c r="I1062" s="78">
        <f>I1063</f>
        <v>0</v>
      </c>
      <c r="J1062" s="78">
        <f>J1063</f>
        <v>16452</v>
      </c>
      <c r="K1062" s="348">
        <f t="shared" si="126"/>
        <v>16452</v>
      </c>
      <c r="L1062" s="78">
        <f>L1063</f>
        <v>0</v>
      </c>
      <c r="M1062" s="78">
        <f>M1063</f>
        <v>0</v>
      </c>
    </row>
    <row r="1063" spans="1:13" s="355" customFormat="1" ht="32.25" customHeight="1">
      <c r="A1063" s="123" t="s">
        <v>763</v>
      </c>
      <c r="B1063" s="347" t="s">
        <v>36</v>
      </c>
      <c r="C1063" s="112" t="s">
        <v>95</v>
      </c>
      <c r="D1063" s="112" t="s">
        <v>232</v>
      </c>
      <c r="E1063" s="112" t="s">
        <v>139</v>
      </c>
      <c r="F1063" s="112" t="s">
        <v>153</v>
      </c>
      <c r="G1063" s="112" t="s">
        <v>1219</v>
      </c>
      <c r="H1063" s="111" t="s">
        <v>764</v>
      </c>
      <c r="I1063" s="78"/>
      <c r="J1063" s="78">
        <v>16452</v>
      </c>
      <c r="K1063" s="348">
        <f t="shared" si="126"/>
        <v>16452</v>
      </c>
      <c r="L1063" s="78"/>
      <c r="M1063" s="78"/>
    </row>
    <row r="1064" spans="1:13" s="355" customFormat="1" ht="32.25" customHeight="1">
      <c r="A1064" s="139" t="s">
        <v>935</v>
      </c>
      <c r="B1064" s="343">
        <v>119</v>
      </c>
      <c r="C1064" s="107" t="s">
        <v>95</v>
      </c>
      <c r="D1064" s="107" t="s">
        <v>232</v>
      </c>
      <c r="E1064" s="107" t="s">
        <v>139</v>
      </c>
      <c r="F1064" s="107" t="s">
        <v>166</v>
      </c>
      <c r="G1064" s="107" t="s">
        <v>156</v>
      </c>
      <c r="H1064" s="71"/>
      <c r="I1064" s="37">
        <f>I1065+I1067+I1069+I1071+I1073+I1075</f>
        <v>9092.000000000002</v>
      </c>
      <c r="J1064" s="37">
        <f>J1065+J1067+J1069+J1071+J1073+J1075</f>
        <v>9670.500000000002</v>
      </c>
      <c r="K1064" s="344">
        <f t="shared" si="126"/>
        <v>578.5</v>
      </c>
      <c r="L1064" s="37">
        <f>L1065+L1067+L1069+L1071+L1073+L1075</f>
        <v>3898.8</v>
      </c>
      <c r="M1064" s="37">
        <f>M1065+M1067+M1069+M1071+M1073+M1075</f>
        <v>4348.8</v>
      </c>
    </row>
    <row r="1065" spans="1:13" s="355" customFormat="1" ht="33" customHeight="1">
      <c r="A1065" s="121" t="s">
        <v>271</v>
      </c>
      <c r="B1065" s="347" t="s">
        <v>36</v>
      </c>
      <c r="C1065" s="112" t="s">
        <v>95</v>
      </c>
      <c r="D1065" s="111" t="s">
        <v>232</v>
      </c>
      <c r="E1065" s="111" t="s">
        <v>139</v>
      </c>
      <c r="F1065" s="111" t="s">
        <v>166</v>
      </c>
      <c r="G1065" s="111" t="s">
        <v>1013</v>
      </c>
      <c r="H1065" s="111"/>
      <c r="I1065" s="78">
        <f>I1066</f>
        <v>2109.8</v>
      </c>
      <c r="J1065" s="78">
        <f>J1066</f>
        <v>2109.8</v>
      </c>
      <c r="K1065" s="348">
        <f t="shared" si="126"/>
        <v>0</v>
      </c>
      <c r="L1065" s="78">
        <f>L1066</f>
        <v>1898.8</v>
      </c>
      <c r="M1065" s="78">
        <f>M1066</f>
        <v>1898.8</v>
      </c>
    </row>
    <row r="1066" spans="1:13" s="355" customFormat="1" ht="30.75" customHeight="1">
      <c r="A1066" s="121" t="s">
        <v>763</v>
      </c>
      <c r="B1066" s="347" t="s">
        <v>36</v>
      </c>
      <c r="C1066" s="112" t="s">
        <v>95</v>
      </c>
      <c r="D1066" s="111" t="s">
        <v>232</v>
      </c>
      <c r="E1066" s="111" t="s">
        <v>139</v>
      </c>
      <c r="F1066" s="111" t="s">
        <v>166</v>
      </c>
      <c r="G1066" s="111" t="s">
        <v>1013</v>
      </c>
      <c r="H1066" s="111" t="s">
        <v>764</v>
      </c>
      <c r="I1066" s="78">
        <f>211+1898.8</f>
        <v>2109.8</v>
      </c>
      <c r="J1066" s="78">
        <f>211+1898.8</f>
        <v>2109.8</v>
      </c>
      <c r="K1066" s="348">
        <f t="shared" si="126"/>
        <v>0</v>
      </c>
      <c r="L1066" s="78">
        <v>1898.8</v>
      </c>
      <c r="M1066" s="78">
        <v>1898.8</v>
      </c>
    </row>
    <row r="1067" spans="1:13" s="355" customFormat="1" ht="20.25" customHeight="1">
      <c r="A1067" s="373" t="s">
        <v>244</v>
      </c>
      <c r="B1067" s="347" t="s">
        <v>36</v>
      </c>
      <c r="C1067" s="112" t="s">
        <v>95</v>
      </c>
      <c r="D1067" s="112" t="s">
        <v>232</v>
      </c>
      <c r="E1067" s="112" t="s">
        <v>139</v>
      </c>
      <c r="F1067" s="111" t="s">
        <v>166</v>
      </c>
      <c r="G1067" s="112" t="s">
        <v>209</v>
      </c>
      <c r="H1067" s="111"/>
      <c r="I1067" s="78">
        <f>I1068</f>
        <v>5376.6</v>
      </c>
      <c r="J1067" s="78">
        <f>J1068</f>
        <v>5376.6</v>
      </c>
      <c r="K1067" s="348">
        <f t="shared" si="126"/>
        <v>0</v>
      </c>
      <c r="L1067" s="78">
        <f>L1068</f>
        <v>0</v>
      </c>
      <c r="M1067" s="78">
        <f>M1068</f>
        <v>0</v>
      </c>
    </row>
    <row r="1068" spans="1:13" s="355" customFormat="1" ht="30.75" customHeight="1">
      <c r="A1068" s="121" t="s">
        <v>763</v>
      </c>
      <c r="B1068" s="347" t="s">
        <v>36</v>
      </c>
      <c r="C1068" s="112" t="s">
        <v>95</v>
      </c>
      <c r="D1068" s="112" t="s">
        <v>232</v>
      </c>
      <c r="E1068" s="112" t="s">
        <v>139</v>
      </c>
      <c r="F1068" s="111" t="s">
        <v>166</v>
      </c>
      <c r="G1068" s="112" t="s">
        <v>209</v>
      </c>
      <c r="H1068" s="111" t="s">
        <v>764</v>
      </c>
      <c r="I1068" s="78">
        <f>1000+1300+3076.6</f>
        <v>5376.6</v>
      </c>
      <c r="J1068" s="78">
        <f>1000+1300+3076.6</f>
        <v>5376.6</v>
      </c>
      <c r="K1068" s="348">
        <f t="shared" si="126"/>
        <v>0</v>
      </c>
      <c r="L1068" s="78"/>
      <c r="M1068" s="78"/>
    </row>
    <row r="1069" spans="1:13" s="355" customFormat="1" ht="34.5" customHeight="1">
      <c r="A1069" s="123" t="s">
        <v>273</v>
      </c>
      <c r="B1069" s="347" t="s">
        <v>36</v>
      </c>
      <c r="C1069" s="112" t="s">
        <v>95</v>
      </c>
      <c r="D1069" s="112" t="s">
        <v>232</v>
      </c>
      <c r="E1069" s="112" t="s">
        <v>139</v>
      </c>
      <c r="F1069" s="111" t="s">
        <v>166</v>
      </c>
      <c r="G1069" s="112" t="s">
        <v>274</v>
      </c>
      <c r="H1069" s="111"/>
      <c r="I1069" s="78">
        <f>I1070</f>
        <v>865</v>
      </c>
      <c r="J1069" s="78">
        <f>J1070</f>
        <v>865</v>
      </c>
      <c r="K1069" s="348">
        <f t="shared" si="126"/>
        <v>0</v>
      </c>
      <c r="L1069" s="78">
        <f>L1070</f>
        <v>1000</v>
      </c>
      <c r="M1069" s="78">
        <f>M1070</f>
        <v>1000</v>
      </c>
    </row>
    <row r="1070" spans="1:13" s="355" customFormat="1" ht="32.25" customHeight="1">
      <c r="A1070" s="121" t="s">
        <v>763</v>
      </c>
      <c r="B1070" s="347" t="s">
        <v>36</v>
      </c>
      <c r="C1070" s="112" t="s">
        <v>95</v>
      </c>
      <c r="D1070" s="112" t="s">
        <v>232</v>
      </c>
      <c r="E1070" s="112" t="s">
        <v>139</v>
      </c>
      <c r="F1070" s="111" t="s">
        <v>166</v>
      </c>
      <c r="G1070" s="112" t="s">
        <v>274</v>
      </c>
      <c r="H1070" s="111" t="s">
        <v>764</v>
      </c>
      <c r="I1070" s="78">
        <f>500+65+300</f>
        <v>865</v>
      </c>
      <c r="J1070" s="78">
        <f>500+65+300</f>
        <v>865</v>
      </c>
      <c r="K1070" s="348">
        <f t="shared" si="126"/>
        <v>0</v>
      </c>
      <c r="L1070" s="78">
        <v>1000</v>
      </c>
      <c r="M1070" s="78">
        <v>1000</v>
      </c>
    </row>
    <row r="1071" spans="1:13" s="355" customFormat="1" ht="21" customHeight="1">
      <c r="A1071" s="114" t="s">
        <v>1092</v>
      </c>
      <c r="B1071" s="347" t="s">
        <v>36</v>
      </c>
      <c r="C1071" s="112" t="s">
        <v>95</v>
      </c>
      <c r="D1071" s="112" t="s">
        <v>232</v>
      </c>
      <c r="E1071" s="112" t="s">
        <v>139</v>
      </c>
      <c r="F1071" s="111" t="s">
        <v>166</v>
      </c>
      <c r="G1071" s="112" t="s">
        <v>247</v>
      </c>
      <c r="H1071" s="111"/>
      <c r="I1071" s="78">
        <f>I1072</f>
        <v>390.6</v>
      </c>
      <c r="J1071" s="78">
        <f>J1072</f>
        <v>969.1</v>
      </c>
      <c r="K1071" s="348">
        <f t="shared" si="126"/>
        <v>578.5</v>
      </c>
      <c r="L1071" s="78">
        <f>L1072</f>
        <v>1000</v>
      </c>
      <c r="M1071" s="78">
        <f>M1072</f>
        <v>1450</v>
      </c>
    </row>
    <row r="1072" spans="1:13" s="355" customFormat="1" ht="30.75" customHeight="1">
      <c r="A1072" s="121" t="s">
        <v>763</v>
      </c>
      <c r="B1072" s="347" t="s">
        <v>36</v>
      </c>
      <c r="C1072" s="112" t="s">
        <v>95</v>
      </c>
      <c r="D1072" s="112" t="s">
        <v>232</v>
      </c>
      <c r="E1072" s="112" t="s">
        <v>139</v>
      </c>
      <c r="F1072" s="111" t="s">
        <v>166</v>
      </c>
      <c r="G1072" s="112" t="s">
        <v>247</v>
      </c>
      <c r="H1072" s="111" t="s">
        <v>764</v>
      </c>
      <c r="I1072" s="78">
        <f>500-211+101.6</f>
        <v>390.6</v>
      </c>
      <c r="J1072" s="78">
        <f>500-211+101.6+578.5</f>
        <v>969.1</v>
      </c>
      <c r="K1072" s="348">
        <f t="shared" si="126"/>
        <v>578.5</v>
      </c>
      <c r="L1072" s="78">
        <v>1000</v>
      </c>
      <c r="M1072" s="78">
        <v>1450</v>
      </c>
    </row>
    <row r="1073" spans="1:13" s="355" customFormat="1" ht="30.75" customHeight="1" hidden="1">
      <c r="A1073" s="121" t="s">
        <v>868</v>
      </c>
      <c r="B1073" s="347" t="s">
        <v>36</v>
      </c>
      <c r="C1073" s="112" t="s">
        <v>95</v>
      </c>
      <c r="D1073" s="112" t="s">
        <v>232</v>
      </c>
      <c r="E1073" s="112" t="s">
        <v>139</v>
      </c>
      <c r="F1073" s="111" t="s">
        <v>166</v>
      </c>
      <c r="G1073" s="112" t="s">
        <v>867</v>
      </c>
      <c r="H1073" s="111"/>
      <c r="I1073" s="78">
        <f>I1074</f>
        <v>0</v>
      </c>
      <c r="J1073" s="78">
        <f>J1074</f>
        <v>0</v>
      </c>
      <c r="K1073" s="348">
        <f t="shared" si="126"/>
        <v>0</v>
      </c>
      <c r="L1073" s="78">
        <f>L1074</f>
        <v>0</v>
      </c>
      <c r="M1073" s="78">
        <f>M1074</f>
        <v>0</v>
      </c>
    </row>
    <row r="1074" spans="1:13" s="355" customFormat="1" ht="32.25" customHeight="1" hidden="1">
      <c r="A1074" s="121" t="s">
        <v>763</v>
      </c>
      <c r="B1074" s="347" t="s">
        <v>36</v>
      </c>
      <c r="C1074" s="112" t="s">
        <v>95</v>
      </c>
      <c r="D1074" s="112" t="s">
        <v>232</v>
      </c>
      <c r="E1074" s="112" t="s">
        <v>139</v>
      </c>
      <c r="F1074" s="111" t="s">
        <v>166</v>
      </c>
      <c r="G1074" s="112" t="s">
        <v>867</v>
      </c>
      <c r="H1074" s="111" t="s">
        <v>764</v>
      </c>
      <c r="I1074" s="78"/>
      <c r="J1074" s="78"/>
      <c r="K1074" s="348">
        <f t="shared" si="126"/>
        <v>0</v>
      </c>
      <c r="L1074" s="78"/>
      <c r="M1074" s="78"/>
    </row>
    <row r="1075" spans="1:13" s="355" customFormat="1" ht="48" customHeight="1">
      <c r="A1075" s="121" t="s">
        <v>210</v>
      </c>
      <c r="B1075" s="347" t="s">
        <v>36</v>
      </c>
      <c r="C1075" s="112" t="s">
        <v>95</v>
      </c>
      <c r="D1075" s="112" t="s">
        <v>232</v>
      </c>
      <c r="E1075" s="112" t="s">
        <v>139</v>
      </c>
      <c r="F1075" s="111" t="s">
        <v>166</v>
      </c>
      <c r="G1075" s="112" t="s">
        <v>211</v>
      </c>
      <c r="H1075" s="111"/>
      <c r="I1075" s="78">
        <f>I1076</f>
        <v>350</v>
      </c>
      <c r="J1075" s="78">
        <f>J1076</f>
        <v>350</v>
      </c>
      <c r="K1075" s="348">
        <f t="shared" si="126"/>
        <v>0</v>
      </c>
      <c r="L1075" s="78">
        <f>L1076</f>
        <v>0</v>
      </c>
      <c r="M1075" s="78">
        <f>M1076</f>
        <v>0</v>
      </c>
    </row>
    <row r="1076" spans="1:13" s="355" customFormat="1" ht="34.5" customHeight="1">
      <c r="A1076" s="121" t="s">
        <v>763</v>
      </c>
      <c r="B1076" s="347" t="s">
        <v>36</v>
      </c>
      <c r="C1076" s="112" t="s">
        <v>95</v>
      </c>
      <c r="D1076" s="112" t="s">
        <v>232</v>
      </c>
      <c r="E1076" s="112" t="s">
        <v>139</v>
      </c>
      <c r="F1076" s="111" t="s">
        <v>166</v>
      </c>
      <c r="G1076" s="112" t="s">
        <v>211</v>
      </c>
      <c r="H1076" s="111" t="s">
        <v>764</v>
      </c>
      <c r="I1076" s="131">
        <v>350</v>
      </c>
      <c r="J1076" s="131">
        <v>350</v>
      </c>
      <c r="K1076" s="348">
        <f t="shared" si="126"/>
        <v>0</v>
      </c>
      <c r="L1076" s="78"/>
      <c r="M1076" s="78"/>
    </row>
    <row r="1077" spans="1:15" s="355" customFormat="1" ht="31.5" customHeight="1">
      <c r="A1077" s="139" t="s">
        <v>96</v>
      </c>
      <c r="B1077" s="343" t="s">
        <v>36</v>
      </c>
      <c r="C1077" s="107" t="s">
        <v>97</v>
      </c>
      <c r="D1077" s="107"/>
      <c r="E1077" s="107"/>
      <c r="F1077" s="71"/>
      <c r="G1077" s="107"/>
      <c r="H1077" s="71"/>
      <c r="I1077" s="37">
        <f aca="true" t="shared" si="129" ref="I1077:M1081">I1078</f>
        <v>530</v>
      </c>
      <c r="J1077" s="37">
        <f t="shared" si="129"/>
        <v>530</v>
      </c>
      <c r="K1077" s="344">
        <f t="shared" si="126"/>
        <v>0</v>
      </c>
      <c r="L1077" s="37">
        <f t="shared" si="129"/>
        <v>450</v>
      </c>
      <c r="M1077" s="37">
        <f t="shared" si="129"/>
        <v>450</v>
      </c>
      <c r="N1077" s="345"/>
      <c r="O1077" s="345"/>
    </row>
    <row r="1078" spans="1:15" s="355" customFormat="1" ht="33" customHeight="1">
      <c r="A1078" s="139" t="s">
        <v>231</v>
      </c>
      <c r="B1078" s="343" t="s">
        <v>36</v>
      </c>
      <c r="C1078" s="107" t="s">
        <v>97</v>
      </c>
      <c r="D1078" s="107" t="s">
        <v>232</v>
      </c>
      <c r="E1078" s="107" t="s">
        <v>154</v>
      </c>
      <c r="F1078" s="71" t="s">
        <v>155</v>
      </c>
      <c r="G1078" s="107" t="s">
        <v>156</v>
      </c>
      <c r="H1078" s="71"/>
      <c r="I1078" s="37">
        <f t="shared" si="129"/>
        <v>530</v>
      </c>
      <c r="J1078" s="37">
        <f t="shared" si="129"/>
        <v>530</v>
      </c>
      <c r="K1078" s="344">
        <f t="shared" si="126"/>
        <v>0</v>
      </c>
      <c r="L1078" s="37">
        <f t="shared" si="129"/>
        <v>450</v>
      </c>
      <c r="M1078" s="37">
        <f t="shared" si="129"/>
        <v>450</v>
      </c>
      <c r="N1078" s="327"/>
      <c r="O1078" s="327"/>
    </row>
    <row r="1079" spans="1:15" s="345" customFormat="1" ht="32.25" customHeight="1">
      <c r="A1079" s="139" t="s">
        <v>498</v>
      </c>
      <c r="B1079" s="343" t="s">
        <v>36</v>
      </c>
      <c r="C1079" s="107" t="s">
        <v>97</v>
      </c>
      <c r="D1079" s="107" t="s">
        <v>232</v>
      </c>
      <c r="E1079" s="107" t="s">
        <v>140</v>
      </c>
      <c r="F1079" s="71" t="s">
        <v>155</v>
      </c>
      <c r="G1079" s="107" t="s">
        <v>156</v>
      </c>
      <c r="H1079" s="71"/>
      <c r="I1079" s="37">
        <f t="shared" si="129"/>
        <v>530</v>
      </c>
      <c r="J1079" s="37">
        <f t="shared" si="129"/>
        <v>530</v>
      </c>
      <c r="K1079" s="344">
        <f t="shared" si="126"/>
        <v>0</v>
      </c>
      <c r="L1079" s="37">
        <f t="shared" si="129"/>
        <v>450</v>
      </c>
      <c r="M1079" s="37">
        <f t="shared" si="129"/>
        <v>450</v>
      </c>
      <c r="N1079" s="355"/>
      <c r="O1079" s="355"/>
    </row>
    <row r="1080" spans="1:13" s="355" customFormat="1" ht="31.5" customHeight="1">
      <c r="A1080" s="139" t="s">
        <v>276</v>
      </c>
      <c r="B1080" s="343" t="s">
        <v>36</v>
      </c>
      <c r="C1080" s="107" t="s">
        <v>97</v>
      </c>
      <c r="D1080" s="107" t="s">
        <v>232</v>
      </c>
      <c r="E1080" s="107" t="s">
        <v>140</v>
      </c>
      <c r="F1080" s="71" t="s">
        <v>153</v>
      </c>
      <c r="G1080" s="107" t="s">
        <v>156</v>
      </c>
      <c r="H1080" s="71"/>
      <c r="I1080" s="37">
        <f t="shared" si="129"/>
        <v>530</v>
      </c>
      <c r="J1080" s="37">
        <f t="shared" si="129"/>
        <v>530</v>
      </c>
      <c r="K1080" s="344">
        <f t="shared" si="126"/>
        <v>0</v>
      </c>
      <c r="L1080" s="37">
        <f t="shared" si="129"/>
        <v>450</v>
      </c>
      <c r="M1080" s="37">
        <f t="shared" si="129"/>
        <v>450</v>
      </c>
    </row>
    <row r="1081" spans="1:15" s="355" customFormat="1" ht="33" customHeight="1">
      <c r="A1081" s="121" t="s">
        <v>278</v>
      </c>
      <c r="B1081" s="347" t="s">
        <v>36</v>
      </c>
      <c r="C1081" s="112" t="s">
        <v>97</v>
      </c>
      <c r="D1081" s="112" t="s">
        <v>232</v>
      </c>
      <c r="E1081" s="112" t="s">
        <v>140</v>
      </c>
      <c r="F1081" s="111" t="s">
        <v>153</v>
      </c>
      <c r="G1081" s="112" t="s">
        <v>1020</v>
      </c>
      <c r="H1081" s="111"/>
      <c r="I1081" s="78">
        <f t="shared" si="129"/>
        <v>530</v>
      </c>
      <c r="J1081" s="78">
        <f t="shared" si="129"/>
        <v>530</v>
      </c>
      <c r="K1081" s="348">
        <f t="shared" si="126"/>
        <v>0</v>
      </c>
      <c r="L1081" s="78">
        <f t="shared" si="129"/>
        <v>450</v>
      </c>
      <c r="M1081" s="78">
        <f t="shared" si="129"/>
        <v>450</v>
      </c>
      <c r="N1081" s="327"/>
      <c r="O1081" s="327"/>
    </row>
    <row r="1082" spans="1:15" s="355" customFormat="1" ht="33.75" customHeight="1">
      <c r="A1082" s="121" t="s">
        <v>763</v>
      </c>
      <c r="B1082" s="347" t="s">
        <v>36</v>
      </c>
      <c r="C1082" s="112" t="s">
        <v>97</v>
      </c>
      <c r="D1082" s="112" t="s">
        <v>232</v>
      </c>
      <c r="E1082" s="112" t="s">
        <v>140</v>
      </c>
      <c r="F1082" s="111" t="s">
        <v>153</v>
      </c>
      <c r="G1082" s="112" t="s">
        <v>1020</v>
      </c>
      <c r="H1082" s="111" t="s">
        <v>764</v>
      </c>
      <c r="I1082" s="78">
        <f>80+450</f>
        <v>530</v>
      </c>
      <c r="J1082" s="78">
        <f>80+450</f>
        <v>530</v>
      </c>
      <c r="K1082" s="348">
        <f t="shared" si="126"/>
        <v>0</v>
      </c>
      <c r="L1082" s="78">
        <v>450</v>
      </c>
      <c r="M1082" s="78">
        <v>450</v>
      </c>
      <c r="N1082" s="327"/>
      <c r="O1082" s="327"/>
    </row>
    <row r="1083" spans="1:13" ht="20.25" customHeight="1">
      <c r="A1083" s="139" t="s">
        <v>98</v>
      </c>
      <c r="B1083" s="343">
        <v>119</v>
      </c>
      <c r="C1083" s="107" t="s">
        <v>99</v>
      </c>
      <c r="D1083" s="71"/>
      <c r="E1083" s="71"/>
      <c r="F1083" s="71"/>
      <c r="G1083" s="71"/>
      <c r="H1083" s="71"/>
      <c r="I1083" s="37">
        <f aca="true" t="shared" si="130" ref="I1083:M1085">I1084</f>
        <v>12062.7</v>
      </c>
      <c r="J1083" s="37">
        <f t="shared" si="130"/>
        <v>12062.7</v>
      </c>
      <c r="K1083" s="344">
        <f t="shared" si="126"/>
        <v>0</v>
      </c>
      <c r="L1083" s="37">
        <f t="shared" si="130"/>
        <v>11120.7</v>
      </c>
      <c r="M1083" s="37">
        <f t="shared" si="130"/>
        <v>9620.7</v>
      </c>
    </row>
    <row r="1084" spans="1:15" ht="30" customHeight="1">
      <c r="A1084" s="139" t="s">
        <v>231</v>
      </c>
      <c r="B1084" s="343" t="s">
        <v>36</v>
      </c>
      <c r="C1084" s="107" t="s">
        <v>99</v>
      </c>
      <c r="D1084" s="107" t="s">
        <v>232</v>
      </c>
      <c r="E1084" s="107" t="s">
        <v>154</v>
      </c>
      <c r="F1084" s="107" t="s">
        <v>155</v>
      </c>
      <c r="G1084" s="107" t="s">
        <v>156</v>
      </c>
      <c r="H1084" s="71"/>
      <c r="I1084" s="37">
        <f t="shared" si="130"/>
        <v>12062.7</v>
      </c>
      <c r="J1084" s="37">
        <f t="shared" si="130"/>
        <v>12062.7</v>
      </c>
      <c r="K1084" s="344">
        <f t="shared" si="126"/>
        <v>0</v>
      </c>
      <c r="L1084" s="37">
        <f t="shared" si="130"/>
        <v>11120.7</v>
      </c>
      <c r="M1084" s="37">
        <f t="shared" si="130"/>
        <v>9620.7</v>
      </c>
      <c r="N1084" s="345"/>
      <c r="O1084" s="345"/>
    </row>
    <row r="1085" spans="1:13" ht="30" customHeight="1">
      <c r="A1085" s="139" t="s">
        <v>279</v>
      </c>
      <c r="B1085" s="343" t="s">
        <v>36</v>
      </c>
      <c r="C1085" s="107" t="s">
        <v>99</v>
      </c>
      <c r="D1085" s="107" t="s">
        <v>232</v>
      </c>
      <c r="E1085" s="107" t="s">
        <v>142</v>
      </c>
      <c r="F1085" s="107" t="s">
        <v>155</v>
      </c>
      <c r="G1085" s="107" t="s">
        <v>156</v>
      </c>
      <c r="H1085" s="71"/>
      <c r="I1085" s="37">
        <f t="shared" si="130"/>
        <v>12062.7</v>
      </c>
      <c r="J1085" s="37">
        <f t="shared" si="130"/>
        <v>12062.7</v>
      </c>
      <c r="K1085" s="344">
        <f t="shared" si="126"/>
        <v>0</v>
      </c>
      <c r="L1085" s="37">
        <f t="shared" si="130"/>
        <v>11120.7</v>
      </c>
      <c r="M1085" s="37">
        <f t="shared" si="130"/>
        <v>9620.7</v>
      </c>
    </row>
    <row r="1086" spans="1:15" s="345" customFormat="1" ht="35.25" customHeight="1">
      <c r="A1086" s="137" t="s">
        <v>280</v>
      </c>
      <c r="B1086" s="343" t="s">
        <v>36</v>
      </c>
      <c r="C1086" s="107" t="s">
        <v>99</v>
      </c>
      <c r="D1086" s="107" t="s">
        <v>232</v>
      </c>
      <c r="E1086" s="107" t="s">
        <v>142</v>
      </c>
      <c r="F1086" s="107" t="s">
        <v>153</v>
      </c>
      <c r="G1086" s="107" t="s">
        <v>156</v>
      </c>
      <c r="H1086" s="71"/>
      <c r="I1086" s="37">
        <f>I1087+I1089+I1091+I1093+I1095</f>
        <v>12062.7</v>
      </c>
      <c r="J1086" s="37">
        <f>J1087+J1089+J1091+J1093+J1095</f>
        <v>12062.7</v>
      </c>
      <c r="K1086" s="344">
        <f t="shared" si="126"/>
        <v>0</v>
      </c>
      <c r="L1086" s="37">
        <f>L1087+L1089+L1091+L1093+L1095</f>
        <v>11120.7</v>
      </c>
      <c r="M1086" s="37">
        <f>M1087+M1089+M1091+M1093+M1095</f>
        <v>9620.7</v>
      </c>
      <c r="N1086" s="355"/>
      <c r="O1086" s="355"/>
    </row>
    <row r="1087" spans="1:15" ht="37.5" customHeight="1">
      <c r="A1087" s="123" t="s">
        <v>281</v>
      </c>
      <c r="B1087" s="347" t="s">
        <v>36</v>
      </c>
      <c r="C1087" s="112" t="s">
        <v>99</v>
      </c>
      <c r="D1087" s="111" t="s">
        <v>232</v>
      </c>
      <c r="E1087" s="111" t="s">
        <v>142</v>
      </c>
      <c r="F1087" s="111" t="s">
        <v>153</v>
      </c>
      <c r="G1087" s="111" t="s">
        <v>282</v>
      </c>
      <c r="H1087" s="111"/>
      <c r="I1087" s="78">
        <f>I1088</f>
        <v>2384.1</v>
      </c>
      <c r="J1087" s="78">
        <f>J1088</f>
        <v>2384.1</v>
      </c>
      <c r="K1087" s="348">
        <f aca="true" t="shared" si="131" ref="K1087:K1157">J1087-I1087</f>
        <v>0</v>
      </c>
      <c r="L1087" s="78">
        <f>L1088</f>
        <v>2400</v>
      </c>
      <c r="M1087" s="78">
        <f>M1088</f>
        <v>1400</v>
      </c>
      <c r="N1087" s="355"/>
      <c r="O1087" s="355"/>
    </row>
    <row r="1088" spans="1:15" ht="33" customHeight="1">
      <c r="A1088" s="121" t="s">
        <v>763</v>
      </c>
      <c r="B1088" s="347" t="s">
        <v>36</v>
      </c>
      <c r="C1088" s="112" t="s">
        <v>99</v>
      </c>
      <c r="D1088" s="111" t="s">
        <v>232</v>
      </c>
      <c r="E1088" s="111" t="s">
        <v>142</v>
      </c>
      <c r="F1088" s="111" t="s">
        <v>153</v>
      </c>
      <c r="G1088" s="111" t="s">
        <v>282</v>
      </c>
      <c r="H1088" s="111" t="s">
        <v>764</v>
      </c>
      <c r="I1088" s="78">
        <f>2500+122+320+200-757.9</f>
        <v>2384.1</v>
      </c>
      <c r="J1088" s="78">
        <f>2500+122+320+200-757.9</f>
        <v>2384.1</v>
      </c>
      <c r="K1088" s="348">
        <f t="shared" si="131"/>
        <v>0</v>
      </c>
      <c r="L1088" s="78">
        <v>2400</v>
      </c>
      <c r="M1088" s="78">
        <v>1400</v>
      </c>
      <c r="N1088" s="355"/>
      <c r="O1088" s="355"/>
    </row>
    <row r="1089" spans="1:13" s="355" customFormat="1" ht="19.5" customHeight="1">
      <c r="A1089" s="123" t="s">
        <v>522</v>
      </c>
      <c r="B1089" s="347" t="s">
        <v>36</v>
      </c>
      <c r="C1089" s="112" t="s">
        <v>99</v>
      </c>
      <c r="D1089" s="111" t="s">
        <v>232</v>
      </c>
      <c r="E1089" s="111" t="s">
        <v>142</v>
      </c>
      <c r="F1089" s="111" t="s">
        <v>153</v>
      </c>
      <c r="G1089" s="111" t="s">
        <v>284</v>
      </c>
      <c r="H1089" s="111"/>
      <c r="I1089" s="78">
        <f>I1090</f>
        <v>1830</v>
      </c>
      <c r="J1089" s="78">
        <f>J1090</f>
        <v>1830</v>
      </c>
      <c r="K1089" s="348">
        <f t="shared" si="131"/>
        <v>0</v>
      </c>
      <c r="L1089" s="78">
        <f>L1090</f>
        <v>1400</v>
      </c>
      <c r="M1089" s="78">
        <f>M1090</f>
        <v>900</v>
      </c>
    </row>
    <row r="1090" spans="1:13" s="355" customFormat="1" ht="33.75" customHeight="1">
      <c r="A1090" s="121" t="s">
        <v>763</v>
      </c>
      <c r="B1090" s="347" t="s">
        <v>36</v>
      </c>
      <c r="C1090" s="112" t="s">
        <v>99</v>
      </c>
      <c r="D1090" s="111" t="s">
        <v>232</v>
      </c>
      <c r="E1090" s="111" t="s">
        <v>142</v>
      </c>
      <c r="F1090" s="111" t="s">
        <v>153</v>
      </c>
      <c r="G1090" s="111" t="s">
        <v>284</v>
      </c>
      <c r="H1090" s="111" t="s">
        <v>764</v>
      </c>
      <c r="I1090" s="78">
        <f>1500-1200+1300+230</f>
        <v>1830</v>
      </c>
      <c r="J1090" s="78">
        <f>1500-1200+1300+230</f>
        <v>1830</v>
      </c>
      <c r="K1090" s="348">
        <f t="shared" si="131"/>
        <v>0</v>
      </c>
      <c r="L1090" s="78">
        <v>1400</v>
      </c>
      <c r="M1090" s="78">
        <v>900</v>
      </c>
    </row>
    <row r="1091" spans="1:15" s="355" customFormat="1" ht="21.75" customHeight="1">
      <c r="A1091" s="123" t="s">
        <v>523</v>
      </c>
      <c r="B1091" s="347" t="s">
        <v>36</v>
      </c>
      <c r="C1091" s="112" t="s">
        <v>99</v>
      </c>
      <c r="D1091" s="111" t="s">
        <v>232</v>
      </c>
      <c r="E1091" s="111" t="s">
        <v>142</v>
      </c>
      <c r="F1091" s="111" t="s">
        <v>153</v>
      </c>
      <c r="G1091" s="111" t="s">
        <v>286</v>
      </c>
      <c r="H1091" s="111"/>
      <c r="I1091" s="78">
        <f>I1092</f>
        <v>270</v>
      </c>
      <c r="J1091" s="78">
        <f>J1092</f>
        <v>270</v>
      </c>
      <c r="K1091" s="348">
        <f t="shared" si="131"/>
        <v>0</v>
      </c>
      <c r="L1091" s="78">
        <f>L1092</f>
        <v>500</v>
      </c>
      <c r="M1091" s="78">
        <f>M1092</f>
        <v>500</v>
      </c>
      <c r="N1091" s="327"/>
      <c r="O1091" s="327"/>
    </row>
    <row r="1092" spans="1:15" s="355" customFormat="1" ht="33" customHeight="1">
      <c r="A1092" s="121" t="s">
        <v>763</v>
      </c>
      <c r="B1092" s="347" t="s">
        <v>36</v>
      </c>
      <c r="C1092" s="112" t="s">
        <v>99</v>
      </c>
      <c r="D1092" s="111" t="s">
        <v>232</v>
      </c>
      <c r="E1092" s="111" t="s">
        <v>142</v>
      </c>
      <c r="F1092" s="111" t="s">
        <v>153</v>
      </c>
      <c r="G1092" s="111" t="s">
        <v>286</v>
      </c>
      <c r="H1092" s="111" t="s">
        <v>764</v>
      </c>
      <c r="I1092" s="78">
        <f>500+1000-1300+70</f>
        <v>270</v>
      </c>
      <c r="J1092" s="78">
        <f>500+1000-1300+70</f>
        <v>270</v>
      </c>
      <c r="K1092" s="348">
        <f t="shared" si="131"/>
        <v>0</v>
      </c>
      <c r="L1092" s="78">
        <v>500</v>
      </c>
      <c r="M1092" s="78">
        <v>500</v>
      </c>
      <c r="N1092" s="327"/>
      <c r="O1092" s="327"/>
    </row>
    <row r="1093" spans="1:13" ht="22.5" customHeight="1">
      <c r="A1093" s="121" t="s">
        <v>524</v>
      </c>
      <c r="B1093" s="347" t="s">
        <v>36</v>
      </c>
      <c r="C1093" s="112" t="s">
        <v>99</v>
      </c>
      <c r="D1093" s="112" t="s">
        <v>232</v>
      </c>
      <c r="E1093" s="111" t="s">
        <v>142</v>
      </c>
      <c r="F1093" s="112" t="s">
        <v>153</v>
      </c>
      <c r="G1093" s="112" t="s">
        <v>1018</v>
      </c>
      <c r="H1093" s="111"/>
      <c r="I1093" s="78">
        <f>I1094</f>
        <v>18</v>
      </c>
      <c r="J1093" s="78">
        <f>J1094</f>
        <v>18</v>
      </c>
      <c r="K1093" s="348">
        <f t="shared" si="131"/>
        <v>0</v>
      </c>
      <c r="L1093" s="78">
        <f>L1094</f>
        <v>16.2</v>
      </c>
      <c r="M1093" s="78">
        <f>M1094</f>
        <v>16.2</v>
      </c>
    </row>
    <row r="1094" spans="1:13" ht="36" customHeight="1">
      <c r="A1094" s="121" t="s">
        <v>763</v>
      </c>
      <c r="B1094" s="347" t="s">
        <v>36</v>
      </c>
      <c r="C1094" s="112" t="s">
        <v>99</v>
      </c>
      <c r="D1094" s="112" t="s">
        <v>232</v>
      </c>
      <c r="E1094" s="111" t="s">
        <v>142</v>
      </c>
      <c r="F1094" s="112" t="s">
        <v>153</v>
      </c>
      <c r="G1094" s="112" t="s">
        <v>1018</v>
      </c>
      <c r="H1094" s="111" t="s">
        <v>764</v>
      </c>
      <c r="I1094" s="78">
        <f>1.8+16.2</f>
        <v>18</v>
      </c>
      <c r="J1094" s="78">
        <f>1.8+16.2</f>
        <v>18</v>
      </c>
      <c r="K1094" s="348">
        <f t="shared" si="131"/>
        <v>0</v>
      </c>
      <c r="L1094" s="78">
        <v>16.2</v>
      </c>
      <c r="M1094" s="78">
        <v>16.2</v>
      </c>
    </row>
    <row r="1095" spans="1:13" ht="33" customHeight="1">
      <c r="A1095" s="121" t="s">
        <v>785</v>
      </c>
      <c r="B1095" s="347">
        <v>119</v>
      </c>
      <c r="C1095" s="112" t="s">
        <v>99</v>
      </c>
      <c r="D1095" s="112" t="s">
        <v>232</v>
      </c>
      <c r="E1095" s="112" t="s">
        <v>142</v>
      </c>
      <c r="F1095" s="112" t="s">
        <v>153</v>
      </c>
      <c r="G1095" s="112" t="s">
        <v>1019</v>
      </c>
      <c r="H1095" s="111"/>
      <c r="I1095" s="78">
        <f>I1096</f>
        <v>7560.6</v>
      </c>
      <c r="J1095" s="78">
        <f>J1096</f>
        <v>7560.6</v>
      </c>
      <c r="K1095" s="348">
        <f t="shared" si="131"/>
        <v>0</v>
      </c>
      <c r="L1095" s="78">
        <f>L1096</f>
        <v>6804.5</v>
      </c>
      <c r="M1095" s="78">
        <f>M1096</f>
        <v>6804.5</v>
      </c>
    </row>
    <row r="1096" spans="1:13" ht="34.5" customHeight="1">
      <c r="A1096" s="121" t="s">
        <v>763</v>
      </c>
      <c r="B1096" s="347">
        <v>119</v>
      </c>
      <c r="C1096" s="112" t="s">
        <v>99</v>
      </c>
      <c r="D1096" s="112" t="s">
        <v>232</v>
      </c>
      <c r="E1096" s="112" t="s">
        <v>142</v>
      </c>
      <c r="F1096" s="112" t="s">
        <v>153</v>
      </c>
      <c r="G1096" s="112" t="s">
        <v>1019</v>
      </c>
      <c r="H1096" s="111" t="s">
        <v>764</v>
      </c>
      <c r="I1096" s="78">
        <f>756.1+6804.5</f>
        <v>7560.6</v>
      </c>
      <c r="J1096" s="78">
        <f>756.1+6804.5</f>
        <v>7560.6</v>
      </c>
      <c r="K1096" s="348">
        <f t="shared" si="131"/>
        <v>0</v>
      </c>
      <c r="L1096" s="78">
        <v>6804.5</v>
      </c>
      <c r="M1096" s="78">
        <v>6804.5</v>
      </c>
    </row>
    <row r="1097" spans="1:13" ht="21" customHeight="1">
      <c r="A1097" s="139" t="s">
        <v>100</v>
      </c>
      <c r="B1097" s="343" t="s">
        <v>36</v>
      </c>
      <c r="C1097" s="107" t="s">
        <v>101</v>
      </c>
      <c r="D1097" s="107"/>
      <c r="E1097" s="107"/>
      <c r="F1097" s="107"/>
      <c r="G1097" s="107"/>
      <c r="H1097" s="71"/>
      <c r="I1097" s="37">
        <f>I1098+I1130</f>
        <v>19985.4</v>
      </c>
      <c r="J1097" s="37">
        <f>J1098+J1130</f>
        <v>19985.4</v>
      </c>
      <c r="K1097" s="344">
        <f t="shared" si="131"/>
        <v>0</v>
      </c>
      <c r="L1097" s="37">
        <f>L1098+L1130</f>
        <v>19524</v>
      </c>
      <c r="M1097" s="37">
        <f>M1098+M1130</f>
        <v>20418</v>
      </c>
    </row>
    <row r="1098" spans="1:13" ht="35.25" customHeight="1">
      <c r="A1098" s="139" t="s">
        <v>231</v>
      </c>
      <c r="B1098" s="343" t="s">
        <v>36</v>
      </c>
      <c r="C1098" s="107" t="s">
        <v>101</v>
      </c>
      <c r="D1098" s="107" t="s">
        <v>232</v>
      </c>
      <c r="E1098" s="107" t="s">
        <v>154</v>
      </c>
      <c r="F1098" s="107" t="s">
        <v>155</v>
      </c>
      <c r="G1098" s="107" t="s">
        <v>156</v>
      </c>
      <c r="H1098" s="71"/>
      <c r="I1098" s="37">
        <f>I1099+I1103+I1107+I1114+I1122</f>
        <v>792</v>
      </c>
      <c r="J1098" s="37">
        <f>J1099+J1103+J1107+J1114+J1122</f>
        <v>792</v>
      </c>
      <c r="K1098" s="344">
        <f t="shared" si="131"/>
        <v>0</v>
      </c>
      <c r="L1098" s="37">
        <f>L1099+L1103+L1107+L1114+L1122</f>
        <v>1947</v>
      </c>
      <c r="M1098" s="37">
        <f>M1099+M1103+M1107+M1114+M1122</f>
        <v>2147</v>
      </c>
    </row>
    <row r="1099" spans="1:13" ht="47.25" customHeight="1" hidden="1">
      <c r="A1099" s="139" t="s">
        <v>496</v>
      </c>
      <c r="B1099" s="343" t="s">
        <v>36</v>
      </c>
      <c r="C1099" s="107" t="s">
        <v>101</v>
      </c>
      <c r="D1099" s="71" t="s">
        <v>232</v>
      </c>
      <c r="E1099" s="71" t="s">
        <v>137</v>
      </c>
      <c r="F1099" s="71" t="s">
        <v>155</v>
      </c>
      <c r="G1099" s="71" t="s">
        <v>156</v>
      </c>
      <c r="H1099" s="71"/>
      <c r="I1099" s="37">
        <f aca="true" t="shared" si="132" ref="I1099:M1101">I1100</f>
        <v>0</v>
      </c>
      <c r="J1099" s="37">
        <f t="shared" si="132"/>
        <v>0</v>
      </c>
      <c r="K1099" s="344">
        <f t="shared" si="131"/>
        <v>0</v>
      </c>
      <c r="L1099" s="37">
        <f t="shared" si="132"/>
        <v>0</v>
      </c>
      <c r="M1099" s="37">
        <f t="shared" si="132"/>
        <v>0</v>
      </c>
    </row>
    <row r="1100" spans="1:13" s="355" customFormat="1" ht="33" customHeight="1" hidden="1">
      <c r="A1100" s="139" t="s">
        <v>262</v>
      </c>
      <c r="B1100" s="343" t="s">
        <v>36</v>
      </c>
      <c r="C1100" s="107" t="s">
        <v>101</v>
      </c>
      <c r="D1100" s="71" t="s">
        <v>232</v>
      </c>
      <c r="E1100" s="71" t="s">
        <v>137</v>
      </c>
      <c r="F1100" s="71" t="s">
        <v>180</v>
      </c>
      <c r="G1100" s="71" t="s">
        <v>156</v>
      </c>
      <c r="H1100" s="71"/>
      <c r="I1100" s="37">
        <f t="shared" si="132"/>
        <v>0</v>
      </c>
      <c r="J1100" s="37">
        <f t="shared" si="132"/>
        <v>0</v>
      </c>
      <c r="K1100" s="344">
        <f t="shared" si="131"/>
        <v>0</v>
      </c>
      <c r="L1100" s="37">
        <f t="shared" si="132"/>
        <v>0</v>
      </c>
      <c r="M1100" s="37">
        <f t="shared" si="132"/>
        <v>0</v>
      </c>
    </row>
    <row r="1101" spans="1:13" ht="34.5" customHeight="1" hidden="1">
      <c r="A1101" s="121" t="s">
        <v>257</v>
      </c>
      <c r="B1101" s="347" t="s">
        <v>36</v>
      </c>
      <c r="C1101" s="112" t="s">
        <v>101</v>
      </c>
      <c r="D1101" s="111" t="s">
        <v>232</v>
      </c>
      <c r="E1101" s="111" t="s">
        <v>137</v>
      </c>
      <c r="F1101" s="111" t="s">
        <v>180</v>
      </c>
      <c r="G1101" s="111" t="s">
        <v>258</v>
      </c>
      <c r="H1101" s="71"/>
      <c r="I1101" s="78">
        <f t="shared" si="132"/>
        <v>0</v>
      </c>
      <c r="J1101" s="78">
        <f t="shared" si="132"/>
        <v>0</v>
      </c>
      <c r="K1101" s="348">
        <f t="shared" si="131"/>
        <v>0</v>
      </c>
      <c r="L1101" s="78">
        <f t="shared" si="132"/>
        <v>0</v>
      </c>
      <c r="M1101" s="78">
        <f t="shared" si="132"/>
        <v>0</v>
      </c>
    </row>
    <row r="1102" spans="1:13" ht="31.5" customHeight="1" hidden="1">
      <c r="A1102" s="121" t="s">
        <v>763</v>
      </c>
      <c r="B1102" s="347" t="s">
        <v>36</v>
      </c>
      <c r="C1102" s="112" t="s">
        <v>101</v>
      </c>
      <c r="D1102" s="111" t="s">
        <v>232</v>
      </c>
      <c r="E1102" s="111" t="s">
        <v>137</v>
      </c>
      <c r="F1102" s="111" t="s">
        <v>180</v>
      </c>
      <c r="G1102" s="111" t="s">
        <v>258</v>
      </c>
      <c r="H1102" s="111" t="s">
        <v>764</v>
      </c>
      <c r="I1102" s="78"/>
      <c r="J1102" s="78"/>
      <c r="K1102" s="348">
        <f t="shared" si="131"/>
        <v>0</v>
      </c>
      <c r="L1102" s="78"/>
      <c r="M1102" s="78"/>
    </row>
    <row r="1103" spans="1:15" ht="34.5" customHeight="1" hidden="1">
      <c r="A1103" s="139" t="s">
        <v>497</v>
      </c>
      <c r="B1103" s="343" t="s">
        <v>36</v>
      </c>
      <c r="C1103" s="107" t="s">
        <v>101</v>
      </c>
      <c r="D1103" s="71" t="s">
        <v>232</v>
      </c>
      <c r="E1103" s="71" t="s">
        <v>139</v>
      </c>
      <c r="F1103" s="71" t="s">
        <v>155</v>
      </c>
      <c r="G1103" s="71" t="s">
        <v>156</v>
      </c>
      <c r="H1103" s="71"/>
      <c r="I1103" s="37">
        <f aca="true" t="shared" si="133" ref="I1103:M1105">I1104</f>
        <v>0</v>
      </c>
      <c r="J1103" s="37">
        <f t="shared" si="133"/>
        <v>0</v>
      </c>
      <c r="K1103" s="344">
        <f t="shared" si="131"/>
        <v>0</v>
      </c>
      <c r="L1103" s="37">
        <f t="shared" si="133"/>
        <v>0</v>
      </c>
      <c r="M1103" s="37">
        <f t="shared" si="133"/>
        <v>0</v>
      </c>
      <c r="N1103" s="345"/>
      <c r="O1103" s="345"/>
    </row>
    <row r="1104" spans="1:13" s="355" customFormat="1" ht="31.5" customHeight="1" hidden="1">
      <c r="A1104" s="139" t="s">
        <v>935</v>
      </c>
      <c r="B1104" s="343" t="s">
        <v>36</v>
      </c>
      <c r="C1104" s="107" t="s">
        <v>101</v>
      </c>
      <c r="D1104" s="71" t="s">
        <v>232</v>
      </c>
      <c r="E1104" s="71" t="s">
        <v>139</v>
      </c>
      <c r="F1104" s="71" t="s">
        <v>166</v>
      </c>
      <c r="G1104" s="71" t="s">
        <v>156</v>
      </c>
      <c r="H1104" s="71"/>
      <c r="I1104" s="37">
        <f t="shared" si="133"/>
        <v>0</v>
      </c>
      <c r="J1104" s="37">
        <f t="shared" si="133"/>
        <v>0</v>
      </c>
      <c r="K1104" s="344">
        <f t="shared" si="131"/>
        <v>0</v>
      </c>
      <c r="L1104" s="37">
        <f t="shared" si="133"/>
        <v>0</v>
      </c>
      <c r="M1104" s="37">
        <f t="shared" si="133"/>
        <v>0</v>
      </c>
    </row>
    <row r="1105" spans="1:15" s="345" customFormat="1" ht="34.5" customHeight="1" hidden="1">
      <c r="A1105" s="121" t="s">
        <v>271</v>
      </c>
      <c r="B1105" s="347" t="s">
        <v>36</v>
      </c>
      <c r="C1105" s="112" t="s">
        <v>101</v>
      </c>
      <c r="D1105" s="111" t="s">
        <v>232</v>
      </c>
      <c r="E1105" s="111" t="s">
        <v>139</v>
      </c>
      <c r="F1105" s="111" t="s">
        <v>166</v>
      </c>
      <c r="G1105" s="111" t="s">
        <v>272</v>
      </c>
      <c r="H1105" s="71"/>
      <c r="I1105" s="78">
        <f t="shared" si="133"/>
        <v>0</v>
      </c>
      <c r="J1105" s="78">
        <f t="shared" si="133"/>
        <v>0</v>
      </c>
      <c r="K1105" s="348">
        <f t="shared" si="131"/>
        <v>0</v>
      </c>
      <c r="L1105" s="78">
        <f t="shared" si="133"/>
        <v>0</v>
      </c>
      <c r="M1105" s="78">
        <f t="shared" si="133"/>
        <v>0</v>
      </c>
      <c r="N1105" s="327"/>
      <c r="O1105" s="327"/>
    </row>
    <row r="1106" spans="1:15" ht="31.5" customHeight="1" hidden="1">
      <c r="A1106" s="121" t="s">
        <v>763</v>
      </c>
      <c r="B1106" s="347" t="s">
        <v>36</v>
      </c>
      <c r="C1106" s="112" t="s">
        <v>101</v>
      </c>
      <c r="D1106" s="111" t="s">
        <v>232</v>
      </c>
      <c r="E1106" s="111" t="s">
        <v>139</v>
      </c>
      <c r="F1106" s="111" t="s">
        <v>166</v>
      </c>
      <c r="G1106" s="111" t="s">
        <v>272</v>
      </c>
      <c r="H1106" s="111" t="s">
        <v>764</v>
      </c>
      <c r="I1106" s="353"/>
      <c r="J1106" s="353"/>
      <c r="K1106" s="348">
        <f t="shared" si="131"/>
        <v>0</v>
      </c>
      <c r="L1106" s="78"/>
      <c r="M1106" s="78"/>
      <c r="N1106" s="355"/>
      <c r="O1106" s="355"/>
    </row>
    <row r="1107" spans="1:13" ht="36" customHeight="1">
      <c r="A1107" s="136" t="s">
        <v>275</v>
      </c>
      <c r="B1107" s="343" t="s">
        <v>36</v>
      </c>
      <c r="C1107" s="107" t="s">
        <v>101</v>
      </c>
      <c r="D1107" s="71" t="s">
        <v>232</v>
      </c>
      <c r="E1107" s="71" t="s">
        <v>140</v>
      </c>
      <c r="F1107" s="71" t="s">
        <v>155</v>
      </c>
      <c r="G1107" s="71" t="s">
        <v>156</v>
      </c>
      <c r="H1107" s="71"/>
      <c r="I1107" s="37">
        <f>I1108</f>
        <v>292</v>
      </c>
      <c r="J1107" s="37">
        <f>J1108</f>
        <v>292</v>
      </c>
      <c r="K1107" s="344">
        <f t="shared" si="131"/>
        <v>0</v>
      </c>
      <c r="L1107" s="37">
        <f>L1108</f>
        <v>947</v>
      </c>
      <c r="M1107" s="37">
        <f>M1108</f>
        <v>1147</v>
      </c>
    </row>
    <row r="1108" spans="1:13" s="355" customFormat="1" ht="34.5" customHeight="1">
      <c r="A1108" s="137" t="s">
        <v>276</v>
      </c>
      <c r="B1108" s="343" t="s">
        <v>36</v>
      </c>
      <c r="C1108" s="107" t="s">
        <v>101</v>
      </c>
      <c r="D1108" s="71" t="s">
        <v>232</v>
      </c>
      <c r="E1108" s="71" t="s">
        <v>140</v>
      </c>
      <c r="F1108" s="71" t="s">
        <v>153</v>
      </c>
      <c r="G1108" s="71" t="s">
        <v>156</v>
      </c>
      <c r="H1108" s="71"/>
      <c r="I1108" s="37">
        <f>I1109+I1112</f>
        <v>292</v>
      </c>
      <c r="J1108" s="37">
        <f>J1109+J1112</f>
        <v>292</v>
      </c>
      <c r="K1108" s="344">
        <f t="shared" si="131"/>
        <v>0</v>
      </c>
      <c r="L1108" s="37">
        <f>L1109+L1112</f>
        <v>947</v>
      </c>
      <c r="M1108" s="37">
        <f>M1109+M1112</f>
        <v>1147</v>
      </c>
    </row>
    <row r="1109" spans="1:13" ht="23.25" customHeight="1">
      <c r="A1109" s="123" t="s">
        <v>1094</v>
      </c>
      <c r="B1109" s="347" t="s">
        <v>36</v>
      </c>
      <c r="C1109" s="112" t="s">
        <v>101</v>
      </c>
      <c r="D1109" s="111" t="s">
        <v>232</v>
      </c>
      <c r="E1109" s="111" t="s">
        <v>140</v>
      </c>
      <c r="F1109" s="111" t="s">
        <v>153</v>
      </c>
      <c r="G1109" s="111" t="s">
        <v>277</v>
      </c>
      <c r="H1109" s="111"/>
      <c r="I1109" s="78">
        <f>I1110+I1111</f>
        <v>170</v>
      </c>
      <c r="J1109" s="78">
        <f>J1110+J1111</f>
        <v>170</v>
      </c>
      <c r="K1109" s="348">
        <f t="shared" si="131"/>
        <v>0</v>
      </c>
      <c r="L1109" s="78">
        <f>L1110+L1111</f>
        <v>337</v>
      </c>
      <c r="M1109" s="78">
        <f>M1110+M1111</f>
        <v>447</v>
      </c>
    </row>
    <row r="1110" spans="1:13" ht="33.75" customHeight="1">
      <c r="A1110" s="121" t="s">
        <v>758</v>
      </c>
      <c r="B1110" s="347" t="s">
        <v>36</v>
      </c>
      <c r="C1110" s="112" t="s">
        <v>101</v>
      </c>
      <c r="D1110" s="111" t="s">
        <v>232</v>
      </c>
      <c r="E1110" s="111" t="s">
        <v>140</v>
      </c>
      <c r="F1110" s="111" t="s">
        <v>153</v>
      </c>
      <c r="G1110" s="111" t="s">
        <v>277</v>
      </c>
      <c r="H1110" s="111" t="s">
        <v>757</v>
      </c>
      <c r="I1110" s="78">
        <v>170</v>
      </c>
      <c r="J1110" s="78">
        <v>170</v>
      </c>
      <c r="K1110" s="348">
        <f t="shared" si="131"/>
        <v>0</v>
      </c>
      <c r="L1110" s="78"/>
      <c r="M1110" s="78"/>
    </row>
    <row r="1111" spans="1:15" ht="33.75" customHeight="1">
      <c r="A1111" s="121" t="s">
        <v>763</v>
      </c>
      <c r="B1111" s="347" t="s">
        <v>36</v>
      </c>
      <c r="C1111" s="112" t="s">
        <v>101</v>
      </c>
      <c r="D1111" s="111" t="s">
        <v>232</v>
      </c>
      <c r="E1111" s="111" t="s">
        <v>140</v>
      </c>
      <c r="F1111" s="111" t="s">
        <v>153</v>
      </c>
      <c r="G1111" s="111" t="s">
        <v>277</v>
      </c>
      <c r="H1111" s="111" t="s">
        <v>764</v>
      </c>
      <c r="I1111" s="78">
        <f>372-122-250</f>
        <v>0</v>
      </c>
      <c r="J1111" s="78">
        <f>372-122-250</f>
        <v>0</v>
      </c>
      <c r="K1111" s="348">
        <f t="shared" si="131"/>
        <v>0</v>
      </c>
      <c r="L1111" s="78">
        <f>947-610</f>
        <v>337</v>
      </c>
      <c r="M1111" s="78">
        <f>1147-900+200</f>
        <v>447</v>
      </c>
      <c r="N1111" s="345"/>
      <c r="O1111" s="345"/>
    </row>
    <row r="1112" spans="1:15" ht="37.5" customHeight="1">
      <c r="A1112" s="22" t="s">
        <v>905</v>
      </c>
      <c r="B1112" s="347">
        <v>119</v>
      </c>
      <c r="C1112" s="112" t="s">
        <v>101</v>
      </c>
      <c r="D1112" s="111" t="s">
        <v>232</v>
      </c>
      <c r="E1112" s="111" t="s">
        <v>140</v>
      </c>
      <c r="F1112" s="111" t="s">
        <v>153</v>
      </c>
      <c r="G1112" s="111" t="s">
        <v>951</v>
      </c>
      <c r="H1112" s="111"/>
      <c r="I1112" s="78">
        <f>I1113</f>
        <v>122</v>
      </c>
      <c r="J1112" s="78">
        <f>J1113</f>
        <v>122</v>
      </c>
      <c r="K1112" s="348">
        <f t="shared" si="131"/>
        <v>0</v>
      </c>
      <c r="L1112" s="78">
        <f>L1113</f>
        <v>610</v>
      </c>
      <c r="M1112" s="78">
        <f>M1113</f>
        <v>700</v>
      </c>
      <c r="N1112" s="345"/>
      <c r="O1112" s="345"/>
    </row>
    <row r="1113" spans="1:15" ht="35.25" customHeight="1">
      <c r="A1113" s="121" t="s">
        <v>763</v>
      </c>
      <c r="B1113" s="347">
        <v>119</v>
      </c>
      <c r="C1113" s="112" t="s">
        <v>101</v>
      </c>
      <c r="D1113" s="111" t="s">
        <v>232</v>
      </c>
      <c r="E1113" s="111" t="s">
        <v>140</v>
      </c>
      <c r="F1113" s="111" t="s">
        <v>153</v>
      </c>
      <c r="G1113" s="111" t="s">
        <v>951</v>
      </c>
      <c r="H1113" s="111" t="s">
        <v>764</v>
      </c>
      <c r="I1113" s="78">
        <v>122</v>
      </c>
      <c r="J1113" s="78">
        <v>122</v>
      </c>
      <c r="K1113" s="348">
        <f t="shared" si="131"/>
        <v>0</v>
      </c>
      <c r="L1113" s="78">
        <v>610</v>
      </c>
      <c r="M1113" s="78">
        <v>700</v>
      </c>
      <c r="N1113" s="345"/>
      <c r="O1113" s="345"/>
    </row>
    <row r="1114" spans="1:13" ht="46.5" customHeight="1" hidden="1">
      <c r="A1114" s="136" t="s">
        <v>279</v>
      </c>
      <c r="B1114" s="343" t="s">
        <v>36</v>
      </c>
      <c r="C1114" s="107" t="s">
        <v>101</v>
      </c>
      <c r="D1114" s="71" t="s">
        <v>232</v>
      </c>
      <c r="E1114" s="71" t="s">
        <v>142</v>
      </c>
      <c r="F1114" s="71" t="s">
        <v>155</v>
      </c>
      <c r="G1114" s="71" t="s">
        <v>156</v>
      </c>
      <c r="H1114" s="71"/>
      <c r="I1114" s="37">
        <f>I1115</f>
        <v>0</v>
      </c>
      <c r="J1114" s="37">
        <f>J1115</f>
        <v>0</v>
      </c>
      <c r="K1114" s="344">
        <f t="shared" si="131"/>
        <v>0</v>
      </c>
      <c r="L1114" s="37">
        <f>L1115</f>
        <v>0</v>
      </c>
      <c r="M1114" s="37">
        <f>M1115</f>
        <v>0</v>
      </c>
    </row>
    <row r="1115" spans="1:15" s="345" customFormat="1" ht="33" customHeight="1" hidden="1">
      <c r="A1115" s="137" t="s">
        <v>280</v>
      </c>
      <c r="B1115" s="343" t="s">
        <v>36</v>
      </c>
      <c r="C1115" s="107" t="s">
        <v>101</v>
      </c>
      <c r="D1115" s="71" t="s">
        <v>232</v>
      </c>
      <c r="E1115" s="71" t="s">
        <v>142</v>
      </c>
      <c r="F1115" s="71" t="s">
        <v>153</v>
      </c>
      <c r="G1115" s="71" t="s">
        <v>156</v>
      </c>
      <c r="H1115" s="71"/>
      <c r="I1115" s="37">
        <f>I1116+I1118+I1120</f>
        <v>0</v>
      </c>
      <c r="J1115" s="37">
        <f>J1116+J1118+J1120</f>
        <v>0</v>
      </c>
      <c r="K1115" s="344">
        <f t="shared" si="131"/>
        <v>0</v>
      </c>
      <c r="L1115" s="37">
        <f>L1116+L1118+L1120</f>
        <v>0</v>
      </c>
      <c r="M1115" s="37">
        <f>M1116+M1118+M1120</f>
        <v>0</v>
      </c>
      <c r="N1115" s="355"/>
      <c r="O1115" s="355"/>
    </row>
    <row r="1116" spans="1:13" ht="35.25" customHeight="1" hidden="1">
      <c r="A1116" s="123" t="s">
        <v>281</v>
      </c>
      <c r="B1116" s="347" t="s">
        <v>36</v>
      </c>
      <c r="C1116" s="112" t="s">
        <v>101</v>
      </c>
      <c r="D1116" s="111" t="s">
        <v>232</v>
      </c>
      <c r="E1116" s="111" t="s">
        <v>142</v>
      </c>
      <c r="F1116" s="111" t="s">
        <v>153</v>
      </c>
      <c r="G1116" s="111" t="s">
        <v>282</v>
      </c>
      <c r="H1116" s="111"/>
      <c r="I1116" s="78">
        <f>I1117</f>
        <v>0</v>
      </c>
      <c r="J1116" s="78">
        <f>J1117</f>
        <v>0</v>
      </c>
      <c r="K1116" s="348">
        <f t="shared" si="131"/>
        <v>0</v>
      </c>
      <c r="L1116" s="78">
        <f>L1117</f>
        <v>0</v>
      </c>
      <c r="M1116" s="78">
        <f>M1117</f>
        <v>0</v>
      </c>
    </row>
    <row r="1117" spans="1:13" ht="31.5" customHeight="1" hidden="1">
      <c r="A1117" s="121" t="s">
        <v>763</v>
      </c>
      <c r="B1117" s="347" t="s">
        <v>36</v>
      </c>
      <c r="C1117" s="112" t="s">
        <v>101</v>
      </c>
      <c r="D1117" s="111" t="s">
        <v>232</v>
      </c>
      <c r="E1117" s="111" t="s">
        <v>142</v>
      </c>
      <c r="F1117" s="111" t="s">
        <v>153</v>
      </c>
      <c r="G1117" s="111" t="s">
        <v>282</v>
      </c>
      <c r="H1117" s="111" t="s">
        <v>764</v>
      </c>
      <c r="I1117" s="78"/>
      <c r="J1117" s="131"/>
      <c r="K1117" s="348">
        <f t="shared" si="131"/>
        <v>0</v>
      </c>
      <c r="L1117" s="78"/>
      <c r="M1117" s="78"/>
    </row>
    <row r="1118" spans="1:13" ht="21" customHeight="1" hidden="1">
      <c r="A1118" s="123" t="s">
        <v>522</v>
      </c>
      <c r="B1118" s="347" t="s">
        <v>36</v>
      </c>
      <c r="C1118" s="112" t="s">
        <v>101</v>
      </c>
      <c r="D1118" s="111" t="s">
        <v>232</v>
      </c>
      <c r="E1118" s="111" t="s">
        <v>142</v>
      </c>
      <c r="F1118" s="111" t="s">
        <v>153</v>
      </c>
      <c r="G1118" s="111" t="s">
        <v>284</v>
      </c>
      <c r="H1118" s="111"/>
      <c r="I1118" s="78">
        <f>I1119</f>
        <v>0</v>
      </c>
      <c r="J1118" s="78">
        <f>J1119</f>
        <v>0</v>
      </c>
      <c r="K1118" s="348">
        <f t="shared" si="131"/>
        <v>0</v>
      </c>
      <c r="L1118" s="78">
        <f>L1119</f>
        <v>0</v>
      </c>
      <c r="M1118" s="78">
        <f>M1119</f>
        <v>0</v>
      </c>
    </row>
    <row r="1119" spans="1:13" ht="30.75" customHeight="1" hidden="1">
      <c r="A1119" s="121" t="s">
        <v>763</v>
      </c>
      <c r="B1119" s="347" t="s">
        <v>36</v>
      </c>
      <c r="C1119" s="112" t="s">
        <v>101</v>
      </c>
      <c r="D1119" s="111" t="s">
        <v>232</v>
      </c>
      <c r="E1119" s="111" t="s">
        <v>142</v>
      </c>
      <c r="F1119" s="111" t="s">
        <v>153</v>
      </c>
      <c r="G1119" s="111" t="s">
        <v>284</v>
      </c>
      <c r="H1119" s="111" t="s">
        <v>764</v>
      </c>
      <c r="I1119" s="78"/>
      <c r="J1119" s="331"/>
      <c r="K1119" s="348">
        <f t="shared" si="131"/>
        <v>0</v>
      </c>
      <c r="L1119" s="78"/>
      <c r="M1119" s="78"/>
    </row>
    <row r="1120" spans="1:13" ht="21" customHeight="1" hidden="1">
      <c r="A1120" s="123" t="s">
        <v>523</v>
      </c>
      <c r="B1120" s="347" t="s">
        <v>36</v>
      </c>
      <c r="C1120" s="112" t="s">
        <v>101</v>
      </c>
      <c r="D1120" s="111" t="s">
        <v>232</v>
      </c>
      <c r="E1120" s="111" t="s">
        <v>142</v>
      </c>
      <c r="F1120" s="111" t="s">
        <v>153</v>
      </c>
      <c r="G1120" s="111" t="s">
        <v>286</v>
      </c>
      <c r="H1120" s="111"/>
      <c r="I1120" s="78">
        <f>I1121</f>
        <v>0</v>
      </c>
      <c r="J1120" s="78">
        <f>J1121</f>
        <v>0</v>
      </c>
      <c r="K1120" s="348">
        <f t="shared" si="131"/>
        <v>0</v>
      </c>
      <c r="L1120" s="78">
        <f>L1121</f>
        <v>0</v>
      </c>
      <c r="M1120" s="78">
        <f>M1121</f>
        <v>0</v>
      </c>
    </row>
    <row r="1121" spans="1:13" ht="34.5" customHeight="1" hidden="1">
      <c r="A1121" s="121" t="s">
        <v>763</v>
      </c>
      <c r="B1121" s="347" t="s">
        <v>36</v>
      </c>
      <c r="C1121" s="112" t="s">
        <v>101</v>
      </c>
      <c r="D1121" s="111" t="s">
        <v>232</v>
      </c>
      <c r="E1121" s="111" t="s">
        <v>142</v>
      </c>
      <c r="F1121" s="111" t="s">
        <v>153</v>
      </c>
      <c r="G1121" s="111" t="s">
        <v>286</v>
      </c>
      <c r="H1121" s="111" t="s">
        <v>764</v>
      </c>
      <c r="I1121" s="78"/>
      <c r="J1121" s="331"/>
      <c r="K1121" s="348">
        <f t="shared" si="131"/>
        <v>0</v>
      </c>
      <c r="L1121" s="78"/>
      <c r="M1121" s="78"/>
    </row>
    <row r="1122" spans="1:13" ht="48" customHeight="1">
      <c r="A1122" s="136" t="s">
        <v>288</v>
      </c>
      <c r="B1122" s="343" t="s">
        <v>36</v>
      </c>
      <c r="C1122" s="107" t="s">
        <v>101</v>
      </c>
      <c r="D1122" s="71" t="s">
        <v>232</v>
      </c>
      <c r="E1122" s="71" t="s">
        <v>259</v>
      </c>
      <c r="F1122" s="71" t="s">
        <v>155</v>
      </c>
      <c r="G1122" s="71" t="s">
        <v>156</v>
      </c>
      <c r="H1122" s="71"/>
      <c r="I1122" s="37">
        <f>I1123</f>
        <v>500</v>
      </c>
      <c r="J1122" s="37">
        <f>J1123</f>
        <v>500</v>
      </c>
      <c r="K1122" s="344">
        <f t="shared" si="131"/>
        <v>0</v>
      </c>
      <c r="L1122" s="37">
        <f>L1123</f>
        <v>1000</v>
      </c>
      <c r="M1122" s="37">
        <f>M1123</f>
        <v>1000</v>
      </c>
    </row>
    <row r="1123" spans="1:13" s="355" customFormat="1" ht="33.75" customHeight="1">
      <c r="A1123" s="137" t="s">
        <v>290</v>
      </c>
      <c r="B1123" s="343" t="s">
        <v>36</v>
      </c>
      <c r="C1123" s="107" t="s">
        <v>101</v>
      </c>
      <c r="D1123" s="107" t="s">
        <v>232</v>
      </c>
      <c r="E1123" s="107" t="s">
        <v>259</v>
      </c>
      <c r="F1123" s="71" t="s">
        <v>153</v>
      </c>
      <c r="G1123" s="71" t="s">
        <v>156</v>
      </c>
      <c r="H1123" s="71"/>
      <c r="I1123" s="37">
        <f>I1124+I1127</f>
        <v>500</v>
      </c>
      <c r="J1123" s="37">
        <f>J1124+J1127</f>
        <v>500</v>
      </c>
      <c r="K1123" s="344">
        <f t="shared" si="131"/>
        <v>0</v>
      </c>
      <c r="L1123" s="37">
        <f>L1124+L1127</f>
        <v>1000</v>
      </c>
      <c r="M1123" s="37">
        <f>M1124+M1127</f>
        <v>1000</v>
      </c>
    </row>
    <row r="1124" spans="1:13" ht="22.5" customHeight="1">
      <c r="A1124" s="123" t="s">
        <v>291</v>
      </c>
      <c r="B1124" s="347" t="s">
        <v>36</v>
      </c>
      <c r="C1124" s="112" t="s">
        <v>101</v>
      </c>
      <c r="D1124" s="112" t="s">
        <v>232</v>
      </c>
      <c r="E1124" s="112" t="s">
        <v>259</v>
      </c>
      <c r="F1124" s="111" t="s">
        <v>153</v>
      </c>
      <c r="G1124" s="112" t="s">
        <v>292</v>
      </c>
      <c r="H1124" s="111"/>
      <c r="I1124" s="78">
        <f>I1125+I1126</f>
        <v>300</v>
      </c>
      <c r="J1124" s="78">
        <f>J1125+J1126</f>
        <v>300</v>
      </c>
      <c r="K1124" s="348">
        <f t="shared" si="131"/>
        <v>0</v>
      </c>
      <c r="L1124" s="78">
        <f>L1125+L1126</f>
        <v>750</v>
      </c>
      <c r="M1124" s="78">
        <f>M1126+M1125</f>
        <v>650</v>
      </c>
    </row>
    <row r="1125" spans="1:13" ht="31.5" customHeight="1" hidden="1">
      <c r="A1125" s="123" t="s">
        <v>758</v>
      </c>
      <c r="B1125" s="347" t="s">
        <v>36</v>
      </c>
      <c r="C1125" s="112" t="s">
        <v>101</v>
      </c>
      <c r="D1125" s="112" t="s">
        <v>232</v>
      </c>
      <c r="E1125" s="112" t="s">
        <v>259</v>
      </c>
      <c r="F1125" s="111" t="s">
        <v>153</v>
      </c>
      <c r="G1125" s="112" t="s">
        <v>292</v>
      </c>
      <c r="H1125" s="111" t="s">
        <v>757</v>
      </c>
      <c r="I1125" s="78"/>
      <c r="J1125" s="78"/>
      <c r="K1125" s="348">
        <f t="shared" si="131"/>
        <v>0</v>
      </c>
      <c r="L1125" s="78"/>
      <c r="M1125" s="78"/>
    </row>
    <row r="1126" spans="1:13" ht="33" customHeight="1">
      <c r="A1126" s="121" t="s">
        <v>763</v>
      </c>
      <c r="B1126" s="347" t="s">
        <v>36</v>
      </c>
      <c r="C1126" s="112" t="s">
        <v>101</v>
      </c>
      <c r="D1126" s="112" t="s">
        <v>232</v>
      </c>
      <c r="E1126" s="112" t="s">
        <v>259</v>
      </c>
      <c r="F1126" s="111" t="s">
        <v>153</v>
      </c>
      <c r="G1126" s="112" t="s">
        <v>292</v>
      </c>
      <c r="H1126" s="111" t="s">
        <v>764</v>
      </c>
      <c r="I1126" s="78">
        <f>500-100-100</f>
        <v>300</v>
      </c>
      <c r="J1126" s="78">
        <f>500-100-100</f>
        <v>300</v>
      </c>
      <c r="K1126" s="348">
        <f t="shared" si="131"/>
        <v>0</v>
      </c>
      <c r="L1126" s="78">
        <f>1000-250</f>
        <v>750</v>
      </c>
      <c r="M1126" s="78">
        <f>1000-350</f>
        <v>650</v>
      </c>
    </row>
    <row r="1127" spans="1:13" ht="33" customHeight="1">
      <c r="A1127" s="121" t="s">
        <v>1021</v>
      </c>
      <c r="B1127" s="347" t="s">
        <v>36</v>
      </c>
      <c r="C1127" s="112" t="s">
        <v>101</v>
      </c>
      <c r="D1127" s="112" t="s">
        <v>232</v>
      </c>
      <c r="E1127" s="112" t="s">
        <v>259</v>
      </c>
      <c r="F1127" s="111" t="s">
        <v>153</v>
      </c>
      <c r="G1127" s="112" t="s">
        <v>1010</v>
      </c>
      <c r="H1127" s="111"/>
      <c r="I1127" s="78">
        <f>I1129+I1128</f>
        <v>200</v>
      </c>
      <c r="J1127" s="78">
        <f>J1129+J1128</f>
        <v>200</v>
      </c>
      <c r="K1127" s="348">
        <f t="shared" si="131"/>
        <v>0</v>
      </c>
      <c r="L1127" s="78">
        <f>L1129+L1128</f>
        <v>250</v>
      </c>
      <c r="M1127" s="78">
        <f>M1129+M1128</f>
        <v>350</v>
      </c>
    </row>
    <row r="1128" spans="1:13" ht="33" customHeight="1">
      <c r="A1128" s="121" t="s">
        <v>758</v>
      </c>
      <c r="B1128" s="347" t="s">
        <v>36</v>
      </c>
      <c r="C1128" s="112" t="s">
        <v>101</v>
      </c>
      <c r="D1128" s="112" t="s">
        <v>232</v>
      </c>
      <c r="E1128" s="112" t="s">
        <v>259</v>
      </c>
      <c r="F1128" s="111" t="s">
        <v>153</v>
      </c>
      <c r="G1128" s="112" t="s">
        <v>1010</v>
      </c>
      <c r="H1128" s="111" t="s">
        <v>757</v>
      </c>
      <c r="I1128" s="78">
        <v>200</v>
      </c>
      <c r="J1128" s="78">
        <v>200</v>
      </c>
      <c r="K1128" s="348">
        <f t="shared" si="131"/>
        <v>0</v>
      </c>
      <c r="L1128" s="78"/>
      <c r="M1128" s="78"/>
    </row>
    <row r="1129" spans="1:13" ht="33" customHeight="1">
      <c r="A1129" s="121" t="s">
        <v>763</v>
      </c>
      <c r="B1129" s="347" t="s">
        <v>36</v>
      </c>
      <c r="C1129" s="112" t="s">
        <v>101</v>
      </c>
      <c r="D1129" s="112" t="s">
        <v>232</v>
      </c>
      <c r="E1129" s="112" t="s">
        <v>259</v>
      </c>
      <c r="F1129" s="111" t="s">
        <v>153</v>
      </c>
      <c r="G1129" s="112" t="s">
        <v>1010</v>
      </c>
      <c r="H1129" s="111" t="s">
        <v>764</v>
      </c>
      <c r="I1129" s="78">
        <f>100-100</f>
        <v>0</v>
      </c>
      <c r="J1129" s="78">
        <f>100-100</f>
        <v>0</v>
      </c>
      <c r="K1129" s="348">
        <f t="shared" si="131"/>
        <v>0</v>
      </c>
      <c r="L1129" s="78">
        <v>250</v>
      </c>
      <c r="M1129" s="78">
        <v>350</v>
      </c>
    </row>
    <row r="1130" spans="1:13" ht="19.5" customHeight="1">
      <c r="A1130" s="139" t="s">
        <v>441</v>
      </c>
      <c r="B1130" s="343" t="s">
        <v>36</v>
      </c>
      <c r="C1130" s="107" t="s">
        <v>101</v>
      </c>
      <c r="D1130" s="107" t="s">
        <v>442</v>
      </c>
      <c r="E1130" s="107" t="s">
        <v>154</v>
      </c>
      <c r="F1130" s="107" t="s">
        <v>155</v>
      </c>
      <c r="G1130" s="107" t="s">
        <v>156</v>
      </c>
      <c r="H1130" s="105"/>
      <c r="I1130" s="37">
        <f aca="true" t="shared" si="134" ref="I1130:M1131">I1131</f>
        <v>19193.4</v>
      </c>
      <c r="J1130" s="37">
        <f t="shared" si="134"/>
        <v>19193.4</v>
      </c>
      <c r="K1130" s="344">
        <f t="shared" si="131"/>
        <v>0</v>
      </c>
      <c r="L1130" s="37">
        <f t="shared" si="134"/>
        <v>17577</v>
      </c>
      <c r="M1130" s="37">
        <f t="shared" si="134"/>
        <v>18271</v>
      </c>
    </row>
    <row r="1131" spans="1:13" ht="17.25" customHeight="1">
      <c r="A1131" s="136" t="s">
        <v>410</v>
      </c>
      <c r="B1131" s="343" t="s">
        <v>36</v>
      </c>
      <c r="C1131" s="107" t="s">
        <v>101</v>
      </c>
      <c r="D1131" s="71" t="s">
        <v>442</v>
      </c>
      <c r="E1131" s="71" t="s">
        <v>338</v>
      </c>
      <c r="F1131" s="71" t="s">
        <v>155</v>
      </c>
      <c r="G1131" s="71" t="s">
        <v>156</v>
      </c>
      <c r="H1131" s="71"/>
      <c r="I1131" s="37">
        <f t="shared" si="134"/>
        <v>19193.4</v>
      </c>
      <c r="J1131" s="37">
        <f t="shared" si="134"/>
        <v>19193.4</v>
      </c>
      <c r="K1131" s="344">
        <f t="shared" si="131"/>
        <v>0</v>
      </c>
      <c r="L1131" s="37">
        <f t="shared" si="134"/>
        <v>17577</v>
      </c>
      <c r="M1131" s="37">
        <f t="shared" si="134"/>
        <v>18271</v>
      </c>
    </row>
    <row r="1132" spans="1:13" s="355" customFormat="1" ht="18" customHeight="1">
      <c r="A1132" s="136" t="s">
        <v>410</v>
      </c>
      <c r="B1132" s="343" t="s">
        <v>36</v>
      </c>
      <c r="C1132" s="107" t="s">
        <v>101</v>
      </c>
      <c r="D1132" s="71" t="s">
        <v>442</v>
      </c>
      <c r="E1132" s="71" t="s">
        <v>338</v>
      </c>
      <c r="F1132" s="71" t="s">
        <v>153</v>
      </c>
      <c r="G1132" s="71" t="s">
        <v>156</v>
      </c>
      <c r="H1132" s="71"/>
      <c r="I1132" s="37">
        <f>I1133+I1137+I1139</f>
        <v>19193.4</v>
      </c>
      <c r="J1132" s="37">
        <f>J1133+J1137+J1139</f>
        <v>19193.4</v>
      </c>
      <c r="K1132" s="344">
        <f t="shared" si="131"/>
        <v>0</v>
      </c>
      <c r="L1132" s="37">
        <f>L1133+L1137+L1139</f>
        <v>17577</v>
      </c>
      <c r="M1132" s="37">
        <f>M1133+M1137+M1139</f>
        <v>18271</v>
      </c>
    </row>
    <row r="1133" spans="1:13" ht="21" customHeight="1">
      <c r="A1133" s="121" t="s">
        <v>196</v>
      </c>
      <c r="B1133" s="347" t="s">
        <v>36</v>
      </c>
      <c r="C1133" s="112" t="s">
        <v>101</v>
      </c>
      <c r="D1133" s="111" t="s">
        <v>442</v>
      </c>
      <c r="E1133" s="111" t="s">
        <v>338</v>
      </c>
      <c r="F1133" s="111" t="s">
        <v>153</v>
      </c>
      <c r="G1133" s="112" t="s">
        <v>197</v>
      </c>
      <c r="H1133" s="129"/>
      <c r="I1133" s="78">
        <f>I1134+I1135+I1136</f>
        <v>19039</v>
      </c>
      <c r="J1133" s="78">
        <f>J1134+J1135+J1136</f>
        <v>19039</v>
      </c>
      <c r="K1133" s="348">
        <f t="shared" si="131"/>
        <v>0</v>
      </c>
      <c r="L1133" s="78">
        <f>L1134+L1135+L1136</f>
        <v>17577</v>
      </c>
      <c r="M1133" s="78">
        <f>M1134+M1135+M1136</f>
        <v>18271</v>
      </c>
    </row>
    <row r="1134" spans="1:13" ht="63.75" customHeight="1">
      <c r="A1134" s="123" t="s">
        <v>755</v>
      </c>
      <c r="B1134" s="347" t="s">
        <v>36</v>
      </c>
      <c r="C1134" s="112" t="s">
        <v>101</v>
      </c>
      <c r="D1134" s="111" t="s">
        <v>442</v>
      </c>
      <c r="E1134" s="111" t="s">
        <v>338</v>
      </c>
      <c r="F1134" s="111" t="s">
        <v>153</v>
      </c>
      <c r="G1134" s="112" t="s">
        <v>197</v>
      </c>
      <c r="H1134" s="129">
        <v>100</v>
      </c>
      <c r="I1134" s="78">
        <f>17214+1478</f>
        <v>18692</v>
      </c>
      <c r="J1134" s="78">
        <f>17214+1478</f>
        <v>18692</v>
      </c>
      <c r="K1134" s="348">
        <f t="shared" si="131"/>
        <v>0</v>
      </c>
      <c r="L1134" s="78">
        <v>17403</v>
      </c>
      <c r="M1134" s="78">
        <v>18098</v>
      </c>
    </row>
    <row r="1135" spans="1:13" ht="33.75" customHeight="1">
      <c r="A1135" s="123" t="s">
        <v>758</v>
      </c>
      <c r="B1135" s="347" t="s">
        <v>36</v>
      </c>
      <c r="C1135" s="112" t="s">
        <v>101</v>
      </c>
      <c r="D1135" s="111" t="s">
        <v>442</v>
      </c>
      <c r="E1135" s="111" t="s">
        <v>338</v>
      </c>
      <c r="F1135" s="111" t="s">
        <v>153</v>
      </c>
      <c r="G1135" s="112" t="s">
        <v>197</v>
      </c>
      <c r="H1135" s="129">
        <v>200</v>
      </c>
      <c r="I1135" s="78">
        <f>173+172</f>
        <v>345</v>
      </c>
      <c r="J1135" s="78">
        <f>173+172</f>
        <v>345</v>
      </c>
      <c r="K1135" s="348">
        <f t="shared" si="131"/>
        <v>0</v>
      </c>
      <c r="L1135" s="78">
        <v>172</v>
      </c>
      <c r="M1135" s="78">
        <v>171</v>
      </c>
    </row>
    <row r="1136" spans="1:13" ht="18" customHeight="1">
      <c r="A1136" s="123" t="s">
        <v>759</v>
      </c>
      <c r="B1136" s="347" t="s">
        <v>36</v>
      </c>
      <c r="C1136" s="112" t="s">
        <v>101</v>
      </c>
      <c r="D1136" s="111" t="s">
        <v>442</v>
      </c>
      <c r="E1136" s="111" t="s">
        <v>338</v>
      </c>
      <c r="F1136" s="111" t="s">
        <v>153</v>
      </c>
      <c r="G1136" s="112" t="s">
        <v>197</v>
      </c>
      <c r="H1136" s="129">
        <v>800</v>
      </c>
      <c r="I1136" s="78">
        <v>2</v>
      </c>
      <c r="J1136" s="78">
        <v>2</v>
      </c>
      <c r="K1136" s="348">
        <f t="shared" si="131"/>
        <v>0</v>
      </c>
      <c r="L1136" s="78">
        <v>2</v>
      </c>
      <c r="M1136" s="78">
        <v>2</v>
      </c>
    </row>
    <row r="1137" spans="1:13" ht="21.75" customHeight="1" hidden="1">
      <c r="A1137" s="123" t="s">
        <v>380</v>
      </c>
      <c r="B1137" s="347" t="s">
        <v>36</v>
      </c>
      <c r="C1137" s="112" t="s">
        <v>101</v>
      </c>
      <c r="D1137" s="111" t="s">
        <v>442</v>
      </c>
      <c r="E1137" s="111" t="s">
        <v>338</v>
      </c>
      <c r="F1137" s="111" t="s">
        <v>153</v>
      </c>
      <c r="G1137" s="112" t="s">
        <v>381</v>
      </c>
      <c r="H1137" s="129"/>
      <c r="I1137" s="78">
        <f>I1138</f>
        <v>0</v>
      </c>
      <c r="J1137" s="78">
        <f>J1138</f>
        <v>0</v>
      </c>
      <c r="K1137" s="348">
        <f t="shared" si="131"/>
        <v>0</v>
      </c>
      <c r="L1137" s="78">
        <f>L1138</f>
        <v>0</v>
      </c>
      <c r="M1137" s="78">
        <f>M1138</f>
        <v>0</v>
      </c>
    </row>
    <row r="1138" spans="1:13" ht="26.25" customHeight="1" hidden="1">
      <c r="A1138" s="121" t="s">
        <v>763</v>
      </c>
      <c r="B1138" s="347" t="s">
        <v>36</v>
      </c>
      <c r="C1138" s="112" t="s">
        <v>101</v>
      </c>
      <c r="D1138" s="111" t="s">
        <v>442</v>
      </c>
      <c r="E1138" s="111" t="s">
        <v>338</v>
      </c>
      <c r="F1138" s="111" t="s">
        <v>153</v>
      </c>
      <c r="G1138" s="112" t="s">
        <v>381</v>
      </c>
      <c r="H1138" s="129">
        <v>600</v>
      </c>
      <c r="I1138" s="78"/>
      <c r="J1138" s="131">
        <f>782-297-22-122-21-320</f>
        <v>0</v>
      </c>
      <c r="K1138" s="348">
        <f t="shared" si="131"/>
        <v>0</v>
      </c>
      <c r="L1138" s="78">
        <f>325-304-21</f>
        <v>0</v>
      </c>
      <c r="M1138" s="78">
        <f>326-21-305</f>
        <v>0</v>
      </c>
    </row>
    <row r="1139" spans="1:13" ht="44.25" customHeight="1">
      <c r="A1139" s="121" t="s">
        <v>1183</v>
      </c>
      <c r="B1139" s="392" t="s">
        <v>36</v>
      </c>
      <c r="C1139" s="389" t="s">
        <v>101</v>
      </c>
      <c r="D1139" s="389" t="s">
        <v>442</v>
      </c>
      <c r="E1139" s="389" t="s">
        <v>338</v>
      </c>
      <c r="F1139" s="389" t="s">
        <v>153</v>
      </c>
      <c r="G1139" s="389" t="s">
        <v>1169</v>
      </c>
      <c r="H1139" s="393"/>
      <c r="I1139" s="78">
        <f>I1140</f>
        <v>154.4</v>
      </c>
      <c r="J1139" s="78">
        <f>J1140</f>
        <v>154.4</v>
      </c>
      <c r="K1139" s="348">
        <f t="shared" si="131"/>
        <v>0</v>
      </c>
      <c r="L1139" s="78">
        <f>L1140</f>
        <v>0</v>
      </c>
      <c r="M1139" s="78">
        <f>M1140</f>
        <v>0</v>
      </c>
    </row>
    <row r="1140" spans="1:13" ht="34.5" customHeight="1">
      <c r="A1140" s="123" t="s">
        <v>758</v>
      </c>
      <c r="B1140" s="347" t="s">
        <v>36</v>
      </c>
      <c r="C1140" s="112" t="s">
        <v>101</v>
      </c>
      <c r="D1140" s="112" t="s">
        <v>442</v>
      </c>
      <c r="E1140" s="112" t="s">
        <v>338</v>
      </c>
      <c r="F1140" s="112" t="s">
        <v>153</v>
      </c>
      <c r="G1140" s="112" t="s">
        <v>1169</v>
      </c>
      <c r="H1140" s="129">
        <v>200</v>
      </c>
      <c r="I1140" s="131">
        <v>154.4</v>
      </c>
      <c r="J1140" s="131">
        <v>154.4</v>
      </c>
      <c r="K1140" s="348">
        <f t="shared" si="131"/>
        <v>0</v>
      </c>
      <c r="L1140" s="78"/>
      <c r="M1140" s="78"/>
    </row>
    <row r="1141" spans="1:13" ht="17.25" customHeight="1">
      <c r="A1141" s="139" t="s">
        <v>106</v>
      </c>
      <c r="B1141" s="343">
        <v>119</v>
      </c>
      <c r="C1141" s="107" t="s">
        <v>107</v>
      </c>
      <c r="D1141" s="71"/>
      <c r="E1141" s="71"/>
      <c r="F1141" s="71"/>
      <c r="G1141" s="71"/>
      <c r="H1141" s="71"/>
      <c r="I1141" s="37">
        <f>I1142+I1148</f>
        <v>63950</v>
      </c>
      <c r="J1141" s="37">
        <f>J1142+J1148</f>
        <v>63950</v>
      </c>
      <c r="K1141" s="344">
        <f t="shared" si="131"/>
        <v>0</v>
      </c>
      <c r="L1141" s="37">
        <f>L1142+L1148</f>
        <v>63950</v>
      </c>
      <c r="M1141" s="37">
        <f>M1142+M1148</f>
        <v>63950</v>
      </c>
    </row>
    <row r="1142" spans="1:13" ht="21" customHeight="1">
      <c r="A1142" s="139" t="s">
        <v>112</v>
      </c>
      <c r="B1142" s="343" t="s">
        <v>36</v>
      </c>
      <c r="C1142" s="107" t="s">
        <v>113</v>
      </c>
      <c r="D1142" s="71"/>
      <c r="E1142" s="71"/>
      <c r="F1142" s="71"/>
      <c r="G1142" s="71"/>
      <c r="H1142" s="71"/>
      <c r="I1142" s="37">
        <f aca="true" t="shared" si="135" ref="I1142:M1146">I1143</f>
        <v>41066.2</v>
      </c>
      <c r="J1142" s="37">
        <f t="shared" si="135"/>
        <v>41066.2</v>
      </c>
      <c r="K1142" s="344">
        <f t="shared" si="131"/>
        <v>0</v>
      </c>
      <c r="L1142" s="37">
        <f t="shared" si="135"/>
        <v>41066.2</v>
      </c>
      <c r="M1142" s="37">
        <f t="shared" si="135"/>
        <v>41066.2</v>
      </c>
    </row>
    <row r="1143" spans="1:13" ht="33" customHeight="1">
      <c r="A1143" s="139" t="s">
        <v>231</v>
      </c>
      <c r="B1143" s="343" t="s">
        <v>36</v>
      </c>
      <c r="C1143" s="107" t="s">
        <v>113</v>
      </c>
      <c r="D1143" s="71" t="s">
        <v>232</v>
      </c>
      <c r="E1143" s="71" t="s">
        <v>154</v>
      </c>
      <c r="F1143" s="71" t="s">
        <v>155</v>
      </c>
      <c r="G1143" s="71" t="s">
        <v>156</v>
      </c>
      <c r="H1143" s="71"/>
      <c r="I1143" s="37">
        <f t="shared" si="135"/>
        <v>41066.2</v>
      </c>
      <c r="J1143" s="37">
        <f t="shared" si="135"/>
        <v>41066.2</v>
      </c>
      <c r="K1143" s="344">
        <f t="shared" si="131"/>
        <v>0</v>
      </c>
      <c r="L1143" s="37">
        <f t="shared" si="135"/>
        <v>41066.2</v>
      </c>
      <c r="M1143" s="37">
        <f t="shared" si="135"/>
        <v>41066.2</v>
      </c>
    </row>
    <row r="1144" spans="1:15" ht="48.75" customHeight="1">
      <c r="A1144" s="136" t="s">
        <v>248</v>
      </c>
      <c r="B1144" s="343" t="s">
        <v>36</v>
      </c>
      <c r="C1144" s="107" t="s">
        <v>113</v>
      </c>
      <c r="D1144" s="71" t="s">
        <v>232</v>
      </c>
      <c r="E1144" s="71" t="s">
        <v>137</v>
      </c>
      <c r="F1144" s="71" t="s">
        <v>155</v>
      </c>
      <c r="G1144" s="71" t="s">
        <v>156</v>
      </c>
      <c r="H1144" s="71"/>
      <c r="I1144" s="37">
        <f t="shared" si="135"/>
        <v>41066.2</v>
      </c>
      <c r="J1144" s="37">
        <f t="shared" si="135"/>
        <v>41066.2</v>
      </c>
      <c r="K1144" s="344">
        <f t="shared" si="131"/>
        <v>0</v>
      </c>
      <c r="L1144" s="37">
        <f t="shared" si="135"/>
        <v>41066.2</v>
      </c>
      <c r="M1144" s="37">
        <f t="shared" si="135"/>
        <v>41066.2</v>
      </c>
      <c r="N1144" s="345"/>
      <c r="O1144" s="345"/>
    </row>
    <row r="1145" spans="1:15" s="355" customFormat="1" ht="33.75" customHeight="1">
      <c r="A1145" s="139" t="s">
        <v>249</v>
      </c>
      <c r="B1145" s="343" t="s">
        <v>36</v>
      </c>
      <c r="C1145" s="107" t="s">
        <v>113</v>
      </c>
      <c r="D1145" s="107" t="s">
        <v>232</v>
      </c>
      <c r="E1145" s="107" t="s">
        <v>137</v>
      </c>
      <c r="F1145" s="107" t="s">
        <v>153</v>
      </c>
      <c r="G1145" s="107" t="s">
        <v>156</v>
      </c>
      <c r="H1145" s="71"/>
      <c r="I1145" s="37">
        <f t="shared" si="135"/>
        <v>41066.2</v>
      </c>
      <c r="J1145" s="37">
        <f t="shared" si="135"/>
        <v>41066.2</v>
      </c>
      <c r="K1145" s="344">
        <f t="shared" si="131"/>
        <v>0</v>
      </c>
      <c r="L1145" s="37">
        <f t="shared" si="135"/>
        <v>41066.2</v>
      </c>
      <c r="M1145" s="37">
        <f t="shared" si="135"/>
        <v>41066.2</v>
      </c>
      <c r="N1145" s="345"/>
      <c r="O1145" s="345"/>
    </row>
    <row r="1146" spans="1:15" s="345" customFormat="1" ht="108.75" customHeight="1">
      <c r="A1146" s="123" t="s">
        <v>260</v>
      </c>
      <c r="B1146" s="347" t="s">
        <v>36</v>
      </c>
      <c r="C1146" s="112" t="s">
        <v>113</v>
      </c>
      <c r="D1146" s="112" t="s">
        <v>232</v>
      </c>
      <c r="E1146" s="112" t="s">
        <v>137</v>
      </c>
      <c r="F1146" s="112" t="s">
        <v>153</v>
      </c>
      <c r="G1146" s="112" t="s">
        <v>261</v>
      </c>
      <c r="H1146" s="111"/>
      <c r="I1146" s="78">
        <f t="shared" si="135"/>
        <v>41066.2</v>
      </c>
      <c r="J1146" s="78">
        <f t="shared" si="135"/>
        <v>41066.2</v>
      </c>
      <c r="K1146" s="348">
        <f t="shared" si="131"/>
        <v>0</v>
      </c>
      <c r="L1146" s="78">
        <f t="shared" si="135"/>
        <v>41066.2</v>
      </c>
      <c r="M1146" s="78">
        <f t="shared" si="135"/>
        <v>41066.2</v>
      </c>
      <c r="N1146" s="346"/>
      <c r="O1146" s="346"/>
    </row>
    <row r="1147" spans="1:15" s="345" customFormat="1" ht="33" customHeight="1">
      <c r="A1147" s="121" t="s">
        <v>763</v>
      </c>
      <c r="B1147" s="347" t="s">
        <v>36</v>
      </c>
      <c r="C1147" s="112" t="s">
        <v>113</v>
      </c>
      <c r="D1147" s="112" t="s">
        <v>232</v>
      </c>
      <c r="E1147" s="112" t="s">
        <v>137</v>
      </c>
      <c r="F1147" s="112" t="s">
        <v>153</v>
      </c>
      <c r="G1147" s="112" t="s">
        <v>261</v>
      </c>
      <c r="H1147" s="111" t="s">
        <v>764</v>
      </c>
      <c r="I1147" s="78">
        <v>41066.2</v>
      </c>
      <c r="J1147" s="78">
        <v>41066.2</v>
      </c>
      <c r="K1147" s="348">
        <f t="shared" si="131"/>
        <v>0</v>
      </c>
      <c r="L1147" s="78">
        <v>41066.2</v>
      </c>
      <c r="M1147" s="78">
        <v>41066.2</v>
      </c>
      <c r="N1147" s="346"/>
      <c r="O1147" s="346"/>
    </row>
    <row r="1148" spans="1:13" s="345" customFormat="1" ht="18.75" customHeight="1">
      <c r="A1148" s="139" t="s">
        <v>114</v>
      </c>
      <c r="B1148" s="343" t="s">
        <v>36</v>
      </c>
      <c r="C1148" s="107" t="s">
        <v>115</v>
      </c>
      <c r="D1148" s="107"/>
      <c r="E1148" s="107"/>
      <c r="F1148" s="107"/>
      <c r="G1148" s="107"/>
      <c r="H1148" s="71"/>
      <c r="I1148" s="37">
        <f aca="true" t="shared" si="136" ref="I1148:M1152">I1149</f>
        <v>22883.8</v>
      </c>
      <c r="J1148" s="37">
        <f t="shared" si="136"/>
        <v>22883.8</v>
      </c>
      <c r="K1148" s="344">
        <f t="shared" si="131"/>
        <v>0</v>
      </c>
      <c r="L1148" s="37">
        <f t="shared" si="136"/>
        <v>22883.8</v>
      </c>
      <c r="M1148" s="37">
        <f t="shared" si="136"/>
        <v>22883.8</v>
      </c>
    </row>
    <row r="1149" spans="1:13" s="345" customFormat="1" ht="33.75" customHeight="1">
      <c r="A1149" s="139" t="s">
        <v>231</v>
      </c>
      <c r="B1149" s="343" t="s">
        <v>36</v>
      </c>
      <c r="C1149" s="107" t="s">
        <v>115</v>
      </c>
      <c r="D1149" s="107" t="s">
        <v>232</v>
      </c>
      <c r="E1149" s="107" t="s">
        <v>154</v>
      </c>
      <c r="F1149" s="107" t="s">
        <v>155</v>
      </c>
      <c r="G1149" s="107" t="s">
        <v>156</v>
      </c>
      <c r="H1149" s="71"/>
      <c r="I1149" s="37">
        <f t="shared" si="136"/>
        <v>22883.8</v>
      </c>
      <c r="J1149" s="37">
        <f t="shared" si="136"/>
        <v>22883.8</v>
      </c>
      <c r="K1149" s="344">
        <f t="shared" si="131"/>
        <v>0</v>
      </c>
      <c r="L1149" s="37">
        <f t="shared" si="136"/>
        <v>22883.8</v>
      </c>
      <c r="M1149" s="37">
        <f t="shared" si="136"/>
        <v>22883.8</v>
      </c>
    </row>
    <row r="1150" spans="1:13" s="345" customFormat="1" ht="39" customHeight="1">
      <c r="A1150" s="136" t="s">
        <v>495</v>
      </c>
      <c r="B1150" s="343" t="s">
        <v>36</v>
      </c>
      <c r="C1150" s="107" t="s">
        <v>115</v>
      </c>
      <c r="D1150" s="107" t="s">
        <v>232</v>
      </c>
      <c r="E1150" s="107" t="s">
        <v>136</v>
      </c>
      <c r="F1150" s="107" t="s">
        <v>155</v>
      </c>
      <c r="G1150" s="107" t="s">
        <v>156</v>
      </c>
      <c r="H1150" s="71"/>
      <c r="I1150" s="37">
        <f t="shared" si="136"/>
        <v>22883.8</v>
      </c>
      <c r="J1150" s="37">
        <f t="shared" si="136"/>
        <v>22883.8</v>
      </c>
      <c r="K1150" s="344">
        <f t="shared" si="131"/>
        <v>0</v>
      </c>
      <c r="L1150" s="37">
        <f t="shared" si="136"/>
        <v>22883.8</v>
      </c>
      <c r="M1150" s="37">
        <f t="shared" si="136"/>
        <v>22883.8</v>
      </c>
    </row>
    <row r="1151" spans="1:13" s="345" customFormat="1" ht="36" customHeight="1">
      <c r="A1151" s="137" t="s">
        <v>233</v>
      </c>
      <c r="B1151" s="343" t="s">
        <v>36</v>
      </c>
      <c r="C1151" s="107" t="s">
        <v>115</v>
      </c>
      <c r="D1151" s="107" t="s">
        <v>232</v>
      </c>
      <c r="E1151" s="107" t="s">
        <v>136</v>
      </c>
      <c r="F1151" s="107" t="s">
        <v>153</v>
      </c>
      <c r="G1151" s="107" t="s">
        <v>156</v>
      </c>
      <c r="H1151" s="71"/>
      <c r="I1151" s="37">
        <f t="shared" si="136"/>
        <v>22883.8</v>
      </c>
      <c r="J1151" s="37">
        <f t="shared" si="136"/>
        <v>22883.8</v>
      </c>
      <c r="K1151" s="344">
        <f t="shared" si="131"/>
        <v>0</v>
      </c>
      <c r="L1151" s="37">
        <f t="shared" si="136"/>
        <v>22883.8</v>
      </c>
      <c r="M1151" s="37">
        <f t="shared" si="136"/>
        <v>22883.8</v>
      </c>
    </row>
    <row r="1152" spans="1:15" s="345" customFormat="1" ht="52.5" customHeight="1">
      <c r="A1152" s="123" t="s">
        <v>241</v>
      </c>
      <c r="B1152" s="347" t="s">
        <v>36</v>
      </c>
      <c r="C1152" s="112" t="s">
        <v>115</v>
      </c>
      <c r="D1152" s="112" t="s">
        <v>232</v>
      </c>
      <c r="E1152" s="112" t="s">
        <v>136</v>
      </c>
      <c r="F1152" s="112" t="s">
        <v>153</v>
      </c>
      <c r="G1152" s="112" t="s">
        <v>242</v>
      </c>
      <c r="H1152" s="111" t="s">
        <v>236</v>
      </c>
      <c r="I1152" s="78">
        <f t="shared" si="136"/>
        <v>22883.8</v>
      </c>
      <c r="J1152" s="78">
        <f t="shared" si="136"/>
        <v>22883.8</v>
      </c>
      <c r="K1152" s="348">
        <f t="shared" si="131"/>
        <v>0</v>
      </c>
      <c r="L1152" s="78">
        <f t="shared" si="136"/>
        <v>22883.8</v>
      </c>
      <c r="M1152" s="78">
        <f t="shared" si="136"/>
        <v>22883.8</v>
      </c>
      <c r="N1152" s="346"/>
      <c r="O1152" s="346"/>
    </row>
    <row r="1153" spans="1:15" s="345" customFormat="1" ht="34.5" customHeight="1">
      <c r="A1153" s="123" t="s">
        <v>763</v>
      </c>
      <c r="B1153" s="347" t="s">
        <v>36</v>
      </c>
      <c r="C1153" s="112" t="s">
        <v>115</v>
      </c>
      <c r="D1153" s="112" t="s">
        <v>232</v>
      </c>
      <c r="E1153" s="112" t="s">
        <v>136</v>
      </c>
      <c r="F1153" s="112" t="s">
        <v>153</v>
      </c>
      <c r="G1153" s="112" t="s">
        <v>242</v>
      </c>
      <c r="H1153" s="111" t="s">
        <v>764</v>
      </c>
      <c r="I1153" s="78">
        <v>22883.8</v>
      </c>
      <c r="J1153" s="78">
        <v>22883.8</v>
      </c>
      <c r="K1153" s="348">
        <f t="shared" si="131"/>
        <v>0</v>
      </c>
      <c r="L1153" s="78">
        <v>22883.8</v>
      </c>
      <c r="M1153" s="78">
        <v>22883.8</v>
      </c>
      <c r="N1153" s="346"/>
      <c r="O1153" s="346"/>
    </row>
    <row r="1154" spans="1:15" s="346" customFormat="1" ht="18.75" customHeight="1">
      <c r="A1154" s="139" t="s">
        <v>118</v>
      </c>
      <c r="B1154" s="343" t="s">
        <v>36</v>
      </c>
      <c r="C1154" s="107" t="s">
        <v>119</v>
      </c>
      <c r="D1154" s="71"/>
      <c r="E1154" s="71"/>
      <c r="F1154" s="71"/>
      <c r="G1154" s="71"/>
      <c r="H1154" s="71"/>
      <c r="I1154" s="37">
        <f aca="true" t="shared" si="137" ref="I1154:M1155">I1155</f>
        <v>21</v>
      </c>
      <c r="J1154" s="37">
        <f t="shared" si="137"/>
        <v>21</v>
      </c>
      <c r="K1154" s="344">
        <f t="shared" si="131"/>
        <v>0</v>
      </c>
      <c r="L1154" s="37">
        <f t="shared" si="137"/>
        <v>21</v>
      </c>
      <c r="M1154" s="37">
        <f t="shared" si="137"/>
        <v>21</v>
      </c>
      <c r="N1154" s="327"/>
      <c r="O1154" s="327"/>
    </row>
    <row r="1155" spans="1:15" s="346" customFormat="1" ht="16.5" customHeight="1">
      <c r="A1155" s="139" t="s">
        <v>120</v>
      </c>
      <c r="B1155" s="343" t="s">
        <v>36</v>
      </c>
      <c r="C1155" s="107" t="s">
        <v>121</v>
      </c>
      <c r="D1155" s="71"/>
      <c r="E1155" s="71"/>
      <c r="F1155" s="71"/>
      <c r="G1155" s="71"/>
      <c r="H1155" s="71"/>
      <c r="I1155" s="37">
        <f t="shared" si="137"/>
        <v>21</v>
      </c>
      <c r="J1155" s="37">
        <f t="shared" si="137"/>
        <v>21</v>
      </c>
      <c r="K1155" s="344">
        <f t="shared" si="131"/>
        <v>0</v>
      </c>
      <c r="L1155" s="37">
        <f t="shared" si="137"/>
        <v>21</v>
      </c>
      <c r="M1155" s="37">
        <f t="shared" si="137"/>
        <v>21</v>
      </c>
      <c r="N1155" s="355"/>
      <c r="O1155" s="355"/>
    </row>
    <row r="1156" spans="1:13" ht="47.25" customHeight="1">
      <c r="A1156" s="139" t="s">
        <v>214</v>
      </c>
      <c r="B1156" s="343" t="s">
        <v>36</v>
      </c>
      <c r="C1156" s="107" t="s">
        <v>121</v>
      </c>
      <c r="D1156" s="71" t="s">
        <v>215</v>
      </c>
      <c r="E1156" s="71" t="s">
        <v>154</v>
      </c>
      <c r="F1156" s="71" t="s">
        <v>155</v>
      </c>
      <c r="G1156" s="71" t="s">
        <v>156</v>
      </c>
      <c r="H1156" s="71"/>
      <c r="I1156" s="37">
        <f>I1157+I1161</f>
        <v>21</v>
      </c>
      <c r="J1156" s="37">
        <f>J1157+J1161</f>
        <v>21</v>
      </c>
      <c r="K1156" s="344">
        <f t="shared" si="131"/>
        <v>0</v>
      </c>
      <c r="L1156" s="37">
        <f>L1157+L1161</f>
        <v>21</v>
      </c>
      <c r="M1156" s="37">
        <f>M1157+M1161</f>
        <v>21</v>
      </c>
    </row>
    <row r="1157" spans="1:13" s="355" customFormat="1" ht="50.25" customHeight="1" hidden="1">
      <c r="A1157" s="136" t="s">
        <v>525</v>
      </c>
      <c r="B1157" s="343" t="s">
        <v>36</v>
      </c>
      <c r="C1157" s="107" t="s">
        <v>121</v>
      </c>
      <c r="D1157" s="71" t="s">
        <v>215</v>
      </c>
      <c r="E1157" s="71" t="s">
        <v>137</v>
      </c>
      <c r="F1157" s="71" t="s">
        <v>155</v>
      </c>
      <c r="G1157" s="71" t="s">
        <v>156</v>
      </c>
      <c r="H1157" s="71"/>
      <c r="I1157" s="37">
        <f aca="true" t="shared" si="138" ref="I1157:M1159">I1158</f>
        <v>0</v>
      </c>
      <c r="J1157" s="37">
        <f t="shared" si="138"/>
        <v>0</v>
      </c>
      <c r="K1157" s="344">
        <f t="shared" si="131"/>
        <v>0</v>
      </c>
      <c r="L1157" s="37">
        <f t="shared" si="138"/>
        <v>0</v>
      </c>
      <c r="M1157" s="37">
        <f t="shared" si="138"/>
        <v>0</v>
      </c>
    </row>
    <row r="1158" spans="1:13" s="355" customFormat="1" ht="33" customHeight="1" hidden="1">
      <c r="A1158" s="136" t="s">
        <v>1095</v>
      </c>
      <c r="B1158" s="343" t="s">
        <v>36</v>
      </c>
      <c r="C1158" s="107" t="s">
        <v>121</v>
      </c>
      <c r="D1158" s="71" t="s">
        <v>215</v>
      </c>
      <c r="E1158" s="71" t="s">
        <v>137</v>
      </c>
      <c r="F1158" s="71" t="s">
        <v>153</v>
      </c>
      <c r="G1158" s="71" t="s">
        <v>156</v>
      </c>
      <c r="H1158" s="71"/>
      <c r="I1158" s="37">
        <f t="shared" si="138"/>
        <v>0</v>
      </c>
      <c r="J1158" s="37">
        <f t="shared" si="138"/>
        <v>0</v>
      </c>
      <c r="K1158" s="344">
        <f aca="true" t="shared" si="139" ref="K1158:K1196">J1158-I1158</f>
        <v>0</v>
      </c>
      <c r="L1158" s="37">
        <f t="shared" si="138"/>
        <v>0</v>
      </c>
      <c r="M1158" s="37">
        <f t="shared" si="138"/>
        <v>0</v>
      </c>
    </row>
    <row r="1159" spans="1:15" s="355" customFormat="1" ht="33" customHeight="1" hidden="1">
      <c r="A1159" s="127" t="s">
        <v>504</v>
      </c>
      <c r="B1159" s="347" t="s">
        <v>36</v>
      </c>
      <c r="C1159" s="112" t="s">
        <v>121</v>
      </c>
      <c r="D1159" s="111" t="s">
        <v>215</v>
      </c>
      <c r="E1159" s="111" t="s">
        <v>137</v>
      </c>
      <c r="F1159" s="111" t="s">
        <v>153</v>
      </c>
      <c r="G1159" s="111" t="s">
        <v>227</v>
      </c>
      <c r="H1159" s="111"/>
      <c r="I1159" s="78">
        <f t="shared" si="138"/>
        <v>0</v>
      </c>
      <c r="J1159" s="78">
        <f t="shared" si="138"/>
        <v>0</v>
      </c>
      <c r="K1159" s="348">
        <f t="shared" si="139"/>
        <v>0</v>
      </c>
      <c r="L1159" s="78">
        <f t="shared" si="138"/>
        <v>0</v>
      </c>
      <c r="M1159" s="78">
        <f t="shared" si="138"/>
        <v>0</v>
      </c>
      <c r="N1159" s="327"/>
      <c r="O1159" s="327"/>
    </row>
    <row r="1160" spans="1:13" ht="32.25" customHeight="1" hidden="1">
      <c r="A1160" s="127" t="s">
        <v>763</v>
      </c>
      <c r="B1160" s="347" t="s">
        <v>36</v>
      </c>
      <c r="C1160" s="112" t="s">
        <v>121</v>
      </c>
      <c r="D1160" s="111" t="s">
        <v>215</v>
      </c>
      <c r="E1160" s="111" t="s">
        <v>137</v>
      </c>
      <c r="F1160" s="111" t="s">
        <v>153</v>
      </c>
      <c r="G1160" s="111" t="s">
        <v>227</v>
      </c>
      <c r="H1160" s="111" t="s">
        <v>764</v>
      </c>
      <c r="I1160" s="78"/>
      <c r="J1160" s="78"/>
      <c r="K1160" s="348">
        <f t="shared" si="139"/>
        <v>0</v>
      </c>
      <c r="L1160" s="78"/>
      <c r="M1160" s="78"/>
    </row>
    <row r="1161" spans="1:13" ht="48" customHeight="1">
      <c r="A1161" s="136" t="s">
        <v>505</v>
      </c>
      <c r="B1161" s="343" t="s">
        <v>36</v>
      </c>
      <c r="C1161" s="107" t="s">
        <v>121</v>
      </c>
      <c r="D1161" s="71" t="s">
        <v>215</v>
      </c>
      <c r="E1161" s="71" t="s">
        <v>139</v>
      </c>
      <c r="F1161" s="71" t="s">
        <v>155</v>
      </c>
      <c r="G1161" s="71" t="s">
        <v>156</v>
      </c>
      <c r="H1161" s="71"/>
      <c r="I1161" s="37">
        <f aca="true" t="shared" si="140" ref="I1161:M1163">I1162</f>
        <v>21</v>
      </c>
      <c r="J1161" s="37">
        <f t="shared" si="140"/>
        <v>21</v>
      </c>
      <c r="K1161" s="344">
        <f t="shared" si="139"/>
        <v>0</v>
      </c>
      <c r="L1161" s="37">
        <f t="shared" si="140"/>
        <v>21</v>
      </c>
      <c r="M1161" s="37">
        <f t="shared" si="140"/>
        <v>21</v>
      </c>
    </row>
    <row r="1162" spans="1:13" s="355" customFormat="1" ht="33.75" customHeight="1">
      <c r="A1162" s="136" t="s">
        <v>895</v>
      </c>
      <c r="B1162" s="343" t="s">
        <v>36</v>
      </c>
      <c r="C1162" s="107" t="s">
        <v>121</v>
      </c>
      <c r="D1162" s="71" t="s">
        <v>215</v>
      </c>
      <c r="E1162" s="71" t="s">
        <v>139</v>
      </c>
      <c r="F1162" s="71" t="s">
        <v>153</v>
      </c>
      <c r="G1162" s="71" t="s">
        <v>156</v>
      </c>
      <c r="H1162" s="71"/>
      <c r="I1162" s="37">
        <f t="shared" si="140"/>
        <v>21</v>
      </c>
      <c r="J1162" s="37">
        <f t="shared" si="140"/>
        <v>21</v>
      </c>
      <c r="K1162" s="344">
        <f t="shared" si="139"/>
        <v>0</v>
      </c>
      <c r="L1162" s="37">
        <f t="shared" si="140"/>
        <v>21</v>
      </c>
      <c r="M1162" s="37">
        <f t="shared" si="140"/>
        <v>21</v>
      </c>
    </row>
    <row r="1163" spans="1:13" ht="53.25" customHeight="1">
      <c r="A1163" s="127" t="s">
        <v>896</v>
      </c>
      <c r="B1163" s="347" t="s">
        <v>36</v>
      </c>
      <c r="C1163" s="112" t="s">
        <v>121</v>
      </c>
      <c r="D1163" s="111" t="s">
        <v>215</v>
      </c>
      <c r="E1163" s="111" t="s">
        <v>139</v>
      </c>
      <c r="F1163" s="111" t="s">
        <v>153</v>
      </c>
      <c r="G1163" s="111" t="s">
        <v>229</v>
      </c>
      <c r="H1163" s="111"/>
      <c r="I1163" s="78">
        <f t="shared" si="140"/>
        <v>21</v>
      </c>
      <c r="J1163" s="78">
        <f t="shared" si="140"/>
        <v>21</v>
      </c>
      <c r="K1163" s="348">
        <f t="shared" si="139"/>
        <v>0</v>
      </c>
      <c r="L1163" s="78">
        <f t="shared" si="140"/>
        <v>21</v>
      </c>
      <c r="M1163" s="78">
        <f t="shared" si="140"/>
        <v>21</v>
      </c>
    </row>
    <row r="1164" spans="1:13" ht="33.75" customHeight="1">
      <c r="A1164" s="127" t="s">
        <v>763</v>
      </c>
      <c r="B1164" s="347" t="s">
        <v>36</v>
      </c>
      <c r="C1164" s="112" t="s">
        <v>121</v>
      </c>
      <c r="D1164" s="111" t="s">
        <v>215</v>
      </c>
      <c r="E1164" s="111" t="s">
        <v>139</v>
      </c>
      <c r="F1164" s="111" t="s">
        <v>153</v>
      </c>
      <c r="G1164" s="111" t="s">
        <v>229</v>
      </c>
      <c r="H1164" s="111" t="s">
        <v>764</v>
      </c>
      <c r="I1164" s="78">
        <v>21</v>
      </c>
      <c r="J1164" s="78">
        <v>21</v>
      </c>
      <c r="K1164" s="348">
        <f t="shared" si="139"/>
        <v>0</v>
      </c>
      <c r="L1164" s="78">
        <v>21</v>
      </c>
      <c r="M1164" s="78">
        <v>21</v>
      </c>
    </row>
    <row r="1165" spans="1:13" ht="36" customHeight="1">
      <c r="A1165" s="139" t="s">
        <v>37</v>
      </c>
      <c r="B1165" s="343" t="s">
        <v>38</v>
      </c>
      <c r="C1165" s="107"/>
      <c r="D1165" s="107"/>
      <c r="E1165" s="107"/>
      <c r="F1165" s="107"/>
      <c r="G1165" s="107"/>
      <c r="H1165" s="105"/>
      <c r="I1165" s="37">
        <f>I1166</f>
        <v>6395.400000000001</v>
      </c>
      <c r="J1165" s="37">
        <f>J1166</f>
        <v>6395.400000000001</v>
      </c>
      <c r="K1165" s="344">
        <f t="shared" si="139"/>
        <v>0</v>
      </c>
      <c r="L1165" s="37">
        <f>L1166</f>
        <v>6163.300000000001</v>
      </c>
      <c r="M1165" s="37">
        <f>M1166</f>
        <v>6396.8</v>
      </c>
    </row>
    <row r="1166" spans="1:13" ht="19.5" customHeight="1">
      <c r="A1166" s="139" t="s">
        <v>42</v>
      </c>
      <c r="B1166" s="343" t="s">
        <v>38</v>
      </c>
      <c r="C1166" s="107" t="s">
        <v>43</v>
      </c>
      <c r="D1166" s="107"/>
      <c r="E1166" s="107"/>
      <c r="F1166" s="107"/>
      <c r="G1166" s="107"/>
      <c r="H1166" s="105"/>
      <c r="I1166" s="37">
        <f>I1167+I1188</f>
        <v>6395.400000000001</v>
      </c>
      <c r="J1166" s="37">
        <f>J1167+J1188</f>
        <v>6395.400000000001</v>
      </c>
      <c r="K1166" s="344">
        <f t="shared" si="139"/>
        <v>0</v>
      </c>
      <c r="L1166" s="37">
        <f>L1167+L1188</f>
        <v>6163.300000000001</v>
      </c>
      <c r="M1166" s="37">
        <f>M1167+M1188</f>
        <v>6396.8</v>
      </c>
    </row>
    <row r="1167" spans="1:13" ht="33" customHeight="1">
      <c r="A1167" s="137" t="s">
        <v>52</v>
      </c>
      <c r="B1167" s="343" t="s">
        <v>38</v>
      </c>
      <c r="C1167" s="107" t="s">
        <v>53</v>
      </c>
      <c r="D1167" s="107"/>
      <c r="E1167" s="107"/>
      <c r="F1167" s="107"/>
      <c r="G1167" s="107"/>
      <c r="H1167" s="105"/>
      <c r="I1167" s="37">
        <f>I1168+I1173</f>
        <v>6351.400000000001</v>
      </c>
      <c r="J1167" s="37">
        <f>J1168+J1173</f>
        <v>6351.400000000001</v>
      </c>
      <c r="K1167" s="344">
        <f t="shared" si="139"/>
        <v>0</v>
      </c>
      <c r="L1167" s="37">
        <f>L1168+L1173</f>
        <v>6117.300000000001</v>
      </c>
      <c r="M1167" s="37">
        <f>M1168+M1173</f>
        <v>6348.8</v>
      </c>
    </row>
    <row r="1168" spans="1:13" ht="51" customHeight="1">
      <c r="A1168" s="139" t="s">
        <v>340</v>
      </c>
      <c r="B1168" s="343" t="s">
        <v>38</v>
      </c>
      <c r="C1168" s="107" t="s">
        <v>53</v>
      </c>
      <c r="D1168" s="71" t="s">
        <v>309</v>
      </c>
      <c r="E1168" s="71" t="s">
        <v>154</v>
      </c>
      <c r="F1168" s="71" t="s">
        <v>155</v>
      </c>
      <c r="G1168" s="71" t="s">
        <v>156</v>
      </c>
      <c r="H1168" s="71"/>
      <c r="I1168" s="37">
        <f aca="true" t="shared" si="141" ref="I1168:M1171">I1169</f>
        <v>19</v>
      </c>
      <c r="J1168" s="37">
        <f t="shared" si="141"/>
        <v>19</v>
      </c>
      <c r="K1168" s="344">
        <f t="shared" si="139"/>
        <v>0</v>
      </c>
      <c r="L1168" s="37">
        <f t="shared" si="141"/>
        <v>19</v>
      </c>
      <c r="M1168" s="37">
        <f t="shared" si="141"/>
        <v>20</v>
      </c>
    </row>
    <row r="1169" spans="1:13" ht="31.5" customHeight="1">
      <c r="A1169" s="136" t="s">
        <v>912</v>
      </c>
      <c r="B1169" s="343" t="s">
        <v>38</v>
      </c>
      <c r="C1169" s="107" t="s">
        <v>53</v>
      </c>
      <c r="D1169" s="71" t="s">
        <v>309</v>
      </c>
      <c r="E1169" s="71" t="s">
        <v>139</v>
      </c>
      <c r="F1169" s="71" t="s">
        <v>155</v>
      </c>
      <c r="G1169" s="71" t="s">
        <v>156</v>
      </c>
      <c r="H1169" s="71"/>
      <c r="I1169" s="37">
        <f t="shared" si="141"/>
        <v>19</v>
      </c>
      <c r="J1169" s="37">
        <f t="shared" si="141"/>
        <v>19</v>
      </c>
      <c r="K1169" s="344">
        <f t="shared" si="139"/>
        <v>0</v>
      </c>
      <c r="L1169" s="37">
        <f t="shared" si="141"/>
        <v>19</v>
      </c>
      <c r="M1169" s="37">
        <f t="shared" si="141"/>
        <v>20</v>
      </c>
    </row>
    <row r="1170" spans="1:13" s="355" customFormat="1" ht="33" customHeight="1">
      <c r="A1170" s="136" t="s">
        <v>913</v>
      </c>
      <c r="B1170" s="343" t="s">
        <v>38</v>
      </c>
      <c r="C1170" s="107" t="s">
        <v>53</v>
      </c>
      <c r="D1170" s="71" t="s">
        <v>309</v>
      </c>
      <c r="E1170" s="71" t="s">
        <v>139</v>
      </c>
      <c r="F1170" s="71" t="s">
        <v>153</v>
      </c>
      <c r="G1170" s="71" t="s">
        <v>156</v>
      </c>
      <c r="H1170" s="71"/>
      <c r="I1170" s="37">
        <f t="shared" si="141"/>
        <v>19</v>
      </c>
      <c r="J1170" s="37">
        <f t="shared" si="141"/>
        <v>19</v>
      </c>
      <c r="K1170" s="344">
        <f t="shared" si="139"/>
        <v>0</v>
      </c>
      <c r="L1170" s="37">
        <f t="shared" si="141"/>
        <v>19</v>
      </c>
      <c r="M1170" s="37">
        <f t="shared" si="141"/>
        <v>20</v>
      </c>
    </row>
    <row r="1171" spans="1:13" ht="37.5" customHeight="1">
      <c r="A1171" s="127" t="s">
        <v>352</v>
      </c>
      <c r="B1171" s="347" t="s">
        <v>38</v>
      </c>
      <c r="C1171" s="112" t="s">
        <v>53</v>
      </c>
      <c r="D1171" s="111" t="s">
        <v>309</v>
      </c>
      <c r="E1171" s="111" t="s">
        <v>139</v>
      </c>
      <c r="F1171" s="111" t="s">
        <v>153</v>
      </c>
      <c r="G1171" s="111" t="s">
        <v>353</v>
      </c>
      <c r="H1171" s="111"/>
      <c r="I1171" s="78">
        <f t="shared" si="141"/>
        <v>19</v>
      </c>
      <c r="J1171" s="78">
        <f t="shared" si="141"/>
        <v>19</v>
      </c>
      <c r="K1171" s="348">
        <f t="shared" si="139"/>
        <v>0</v>
      </c>
      <c r="L1171" s="78">
        <f t="shared" si="141"/>
        <v>19</v>
      </c>
      <c r="M1171" s="78">
        <f t="shared" si="141"/>
        <v>20</v>
      </c>
    </row>
    <row r="1172" spans="1:13" ht="33.75" customHeight="1">
      <c r="A1172" s="123" t="s">
        <v>758</v>
      </c>
      <c r="B1172" s="347" t="s">
        <v>38</v>
      </c>
      <c r="C1172" s="112" t="s">
        <v>53</v>
      </c>
      <c r="D1172" s="111" t="s">
        <v>309</v>
      </c>
      <c r="E1172" s="111" t="s">
        <v>139</v>
      </c>
      <c r="F1172" s="111" t="s">
        <v>153</v>
      </c>
      <c r="G1172" s="111" t="s">
        <v>353</v>
      </c>
      <c r="H1172" s="111" t="s">
        <v>757</v>
      </c>
      <c r="I1172" s="78">
        <f>19+44-44</f>
        <v>19</v>
      </c>
      <c r="J1172" s="78">
        <f>19+44-44</f>
        <v>19</v>
      </c>
      <c r="K1172" s="348">
        <f t="shared" si="139"/>
        <v>0</v>
      </c>
      <c r="L1172" s="78">
        <f>19+46-46</f>
        <v>19</v>
      </c>
      <c r="M1172" s="78">
        <f>20+48-48</f>
        <v>20</v>
      </c>
    </row>
    <row r="1173" spans="1:13" ht="34.5" customHeight="1">
      <c r="A1173" s="139" t="s">
        <v>407</v>
      </c>
      <c r="B1173" s="343" t="s">
        <v>38</v>
      </c>
      <c r="C1173" s="107" t="s">
        <v>53</v>
      </c>
      <c r="D1173" s="107" t="s">
        <v>408</v>
      </c>
      <c r="E1173" s="107" t="s">
        <v>154</v>
      </c>
      <c r="F1173" s="107" t="s">
        <v>155</v>
      </c>
      <c r="G1173" s="107" t="s">
        <v>156</v>
      </c>
      <c r="H1173" s="105"/>
      <c r="I1173" s="37">
        <f>I1174+I1184</f>
        <v>6332.400000000001</v>
      </c>
      <c r="J1173" s="37">
        <f>J1174+J1184</f>
        <v>6332.400000000001</v>
      </c>
      <c r="K1173" s="344">
        <f t="shared" si="139"/>
        <v>0</v>
      </c>
      <c r="L1173" s="37">
        <f>L1174+L1184</f>
        <v>6098.300000000001</v>
      </c>
      <c r="M1173" s="37">
        <f>M1174+M1184</f>
        <v>6328.8</v>
      </c>
    </row>
    <row r="1174" spans="1:13" ht="21.75" customHeight="1">
      <c r="A1174" s="136" t="s">
        <v>508</v>
      </c>
      <c r="B1174" s="343" t="s">
        <v>38</v>
      </c>
      <c r="C1174" s="107" t="s">
        <v>53</v>
      </c>
      <c r="D1174" s="71" t="s">
        <v>408</v>
      </c>
      <c r="E1174" s="71" t="s">
        <v>139</v>
      </c>
      <c r="F1174" s="71" t="s">
        <v>155</v>
      </c>
      <c r="G1174" s="71" t="s">
        <v>156</v>
      </c>
      <c r="H1174" s="71"/>
      <c r="I1174" s="37">
        <f>I1175</f>
        <v>4281.1</v>
      </c>
      <c r="J1174" s="37">
        <f>J1175</f>
        <v>4281.1</v>
      </c>
      <c r="K1174" s="344">
        <f t="shared" si="139"/>
        <v>0</v>
      </c>
      <c r="L1174" s="37">
        <f>L1175</f>
        <v>3964.9000000000005</v>
      </c>
      <c r="M1174" s="37">
        <f>M1175</f>
        <v>4110.1</v>
      </c>
    </row>
    <row r="1175" spans="1:13" ht="18.75" customHeight="1">
      <c r="A1175" s="123" t="s">
        <v>410</v>
      </c>
      <c r="B1175" s="347" t="s">
        <v>38</v>
      </c>
      <c r="C1175" s="112" t="s">
        <v>53</v>
      </c>
      <c r="D1175" s="112" t="s">
        <v>408</v>
      </c>
      <c r="E1175" s="112" t="s">
        <v>139</v>
      </c>
      <c r="F1175" s="112" t="s">
        <v>153</v>
      </c>
      <c r="G1175" s="112" t="s">
        <v>156</v>
      </c>
      <c r="H1175" s="129"/>
      <c r="I1175" s="78">
        <f>I1176+I1180+I1182</f>
        <v>4281.1</v>
      </c>
      <c r="J1175" s="78">
        <f>J1176+J1180+J1182</f>
        <v>4281.1</v>
      </c>
      <c r="K1175" s="348">
        <f t="shared" si="139"/>
        <v>0</v>
      </c>
      <c r="L1175" s="78">
        <f>L1176+L1180+L1182</f>
        <v>3964.9000000000005</v>
      </c>
      <c r="M1175" s="78">
        <f>M1176+M1180+M1182</f>
        <v>4110.1</v>
      </c>
    </row>
    <row r="1176" spans="1:13" ht="21.75" customHeight="1">
      <c r="A1176" s="123" t="s">
        <v>411</v>
      </c>
      <c r="B1176" s="347" t="s">
        <v>38</v>
      </c>
      <c r="C1176" s="112" t="s">
        <v>53</v>
      </c>
      <c r="D1176" s="112" t="s">
        <v>408</v>
      </c>
      <c r="E1176" s="112" t="s">
        <v>139</v>
      </c>
      <c r="F1176" s="112" t="s">
        <v>153</v>
      </c>
      <c r="G1176" s="112" t="s">
        <v>412</v>
      </c>
      <c r="H1176" s="129"/>
      <c r="I1176" s="78">
        <f>I1177+I1178+I1179</f>
        <v>3608.5</v>
      </c>
      <c r="J1176" s="78">
        <f>J1177+J1178+J1179</f>
        <v>3608.5</v>
      </c>
      <c r="K1176" s="348">
        <f t="shared" si="139"/>
        <v>0</v>
      </c>
      <c r="L1176" s="78">
        <f>L1177+L1178+L1179</f>
        <v>3764.9000000000005</v>
      </c>
      <c r="M1176" s="78">
        <f>M1177+M1178+M1179</f>
        <v>3910.1000000000004</v>
      </c>
    </row>
    <row r="1177" spans="1:15" ht="66" customHeight="1">
      <c r="A1177" s="123" t="s">
        <v>755</v>
      </c>
      <c r="B1177" s="347" t="s">
        <v>38</v>
      </c>
      <c r="C1177" s="112" t="s">
        <v>53</v>
      </c>
      <c r="D1177" s="112" t="s">
        <v>408</v>
      </c>
      <c r="E1177" s="112" t="s">
        <v>139</v>
      </c>
      <c r="F1177" s="112" t="s">
        <v>153</v>
      </c>
      <c r="G1177" s="112" t="s">
        <v>412</v>
      </c>
      <c r="H1177" s="129">
        <v>100</v>
      </c>
      <c r="I1177" s="78">
        <f>3313.6-200</f>
        <v>3113.6</v>
      </c>
      <c r="J1177" s="78">
        <f>3313.6-200</f>
        <v>3113.6</v>
      </c>
      <c r="K1177" s="348">
        <f t="shared" si="139"/>
        <v>0</v>
      </c>
      <c r="L1177" s="78">
        <v>3445.3</v>
      </c>
      <c r="M1177" s="78">
        <v>3582.3</v>
      </c>
      <c r="N1177" s="345"/>
      <c r="O1177" s="345"/>
    </row>
    <row r="1178" spans="1:15" ht="34.5" customHeight="1">
      <c r="A1178" s="123" t="s">
        <v>758</v>
      </c>
      <c r="B1178" s="347" t="s">
        <v>38</v>
      </c>
      <c r="C1178" s="112" t="s">
        <v>53</v>
      </c>
      <c r="D1178" s="112" t="s">
        <v>408</v>
      </c>
      <c r="E1178" s="112" t="s">
        <v>139</v>
      </c>
      <c r="F1178" s="112" t="s">
        <v>153</v>
      </c>
      <c r="G1178" s="112" t="s">
        <v>412</v>
      </c>
      <c r="H1178" s="129">
        <v>200</v>
      </c>
      <c r="I1178" s="78">
        <f>294.6+200</f>
        <v>494.6</v>
      </c>
      <c r="J1178" s="78">
        <f>294.6+200</f>
        <v>494.6</v>
      </c>
      <c r="K1178" s="348">
        <f t="shared" si="139"/>
        <v>0</v>
      </c>
      <c r="L1178" s="78">
        <v>319.3</v>
      </c>
      <c r="M1178" s="78">
        <v>327.5</v>
      </c>
      <c r="N1178" s="345"/>
      <c r="O1178" s="345"/>
    </row>
    <row r="1179" spans="1:13" s="345" customFormat="1" ht="17.25" customHeight="1">
      <c r="A1179" s="123" t="s">
        <v>759</v>
      </c>
      <c r="B1179" s="347" t="s">
        <v>38</v>
      </c>
      <c r="C1179" s="112" t="s">
        <v>53</v>
      </c>
      <c r="D1179" s="112" t="s">
        <v>408</v>
      </c>
      <c r="E1179" s="112" t="s">
        <v>139</v>
      </c>
      <c r="F1179" s="112" t="s">
        <v>153</v>
      </c>
      <c r="G1179" s="112" t="s">
        <v>412</v>
      </c>
      <c r="H1179" s="129">
        <v>800</v>
      </c>
      <c r="I1179" s="78">
        <v>0.3</v>
      </c>
      <c r="J1179" s="78">
        <v>0.3</v>
      </c>
      <c r="K1179" s="348">
        <f t="shared" si="139"/>
        <v>0</v>
      </c>
      <c r="L1179" s="78">
        <v>0.3</v>
      </c>
      <c r="M1179" s="78">
        <v>0.3</v>
      </c>
    </row>
    <row r="1180" spans="1:15" s="345" customFormat="1" ht="51.75" customHeight="1">
      <c r="A1180" s="123" t="s">
        <v>420</v>
      </c>
      <c r="B1180" s="347" t="s">
        <v>38</v>
      </c>
      <c r="C1180" s="112" t="s">
        <v>53</v>
      </c>
      <c r="D1180" s="112" t="s">
        <v>408</v>
      </c>
      <c r="E1180" s="112" t="s">
        <v>139</v>
      </c>
      <c r="F1180" s="112" t="s">
        <v>153</v>
      </c>
      <c r="G1180" s="112" t="s">
        <v>421</v>
      </c>
      <c r="H1180" s="129"/>
      <c r="I1180" s="78">
        <f>I1181</f>
        <v>472.6</v>
      </c>
      <c r="J1180" s="78">
        <f>J1181</f>
        <v>472.6</v>
      </c>
      <c r="K1180" s="348">
        <f t="shared" si="139"/>
        <v>0</v>
      </c>
      <c r="L1180" s="78">
        <f>L1181</f>
        <v>0</v>
      </c>
      <c r="M1180" s="78">
        <f>M1181</f>
        <v>0</v>
      </c>
      <c r="N1180" s="346"/>
      <c r="O1180" s="346"/>
    </row>
    <row r="1181" spans="1:15" s="345" customFormat="1" ht="68.25" customHeight="1">
      <c r="A1181" s="123" t="s">
        <v>755</v>
      </c>
      <c r="B1181" s="347" t="s">
        <v>38</v>
      </c>
      <c r="C1181" s="112" t="s">
        <v>53</v>
      </c>
      <c r="D1181" s="112" t="s">
        <v>408</v>
      </c>
      <c r="E1181" s="112" t="s">
        <v>139</v>
      </c>
      <c r="F1181" s="112" t="s">
        <v>153</v>
      </c>
      <c r="G1181" s="112" t="s">
        <v>421</v>
      </c>
      <c r="H1181" s="129">
        <v>100</v>
      </c>
      <c r="I1181" s="78">
        <v>472.6</v>
      </c>
      <c r="J1181" s="78">
        <v>472.6</v>
      </c>
      <c r="K1181" s="348">
        <f t="shared" si="139"/>
        <v>0</v>
      </c>
      <c r="L1181" s="78"/>
      <c r="M1181" s="78"/>
      <c r="N1181" s="346"/>
      <c r="O1181" s="346"/>
    </row>
    <row r="1182" spans="1:15" s="346" customFormat="1" ht="49.5" customHeight="1">
      <c r="A1182" s="123" t="s">
        <v>490</v>
      </c>
      <c r="B1182" s="347" t="s">
        <v>38</v>
      </c>
      <c r="C1182" s="112" t="s">
        <v>53</v>
      </c>
      <c r="D1182" s="112" t="s">
        <v>408</v>
      </c>
      <c r="E1182" s="112" t="s">
        <v>139</v>
      </c>
      <c r="F1182" s="112" t="s">
        <v>153</v>
      </c>
      <c r="G1182" s="112" t="s">
        <v>439</v>
      </c>
      <c r="H1182" s="143"/>
      <c r="I1182" s="78">
        <f>I1183</f>
        <v>200</v>
      </c>
      <c r="J1182" s="78">
        <f>J1183</f>
        <v>200</v>
      </c>
      <c r="K1182" s="348">
        <f t="shared" si="139"/>
        <v>0</v>
      </c>
      <c r="L1182" s="78">
        <f>L1183</f>
        <v>200</v>
      </c>
      <c r="M1182" s="78">
        <f>M1183</f>
        <v>200</v>
      </c>
      <c r="N1182" s="327"/>
      <c r="O1182" s="327"/>
    </row>
    <row r="1183" spans="1:15" s="346" customFormat="1" ht="66" customHeight="1">
      <c r="A1183" s="123" t="s">
        <v>755</v>
      </c>
      <c r="B1183" s="347" t="s">
        <v>38</v>
      </c>
      <c r="C1183" s="112" t="s">
        <v>53</v>
      </c>
      <c r="D1183" s="112" t="s">
        <v>408</v>
      </c>
      <c r="E1183" s="112" t="s">
        <v>139</v>
      </c>
      <c r="F1183" s="112" t="s">
        <v>153</v>
      </c>
      <c r="G1183" s="112" t="s">
        <v>439</v>
      </c>
      <c r="H1183" s="143">
        <v>100</v>
      </c>
      <c r="I1183" s="78">
        <v>200</v>
      </c>
      <c r="J1183" s="78">
        <v>200</v>
      </c>
      <c r="K1183" s="348">
        <f t="shared" si="139"/>
        <v>0</v>
      </c>
      <c r="L1183" s="78">
        <v>200</v>
      </c>
      <c r="M1183" s="78">
        <v>200</v>
      </c>
      <c r="N1183" s="327"/>
      <c r="O1183" s="327"/>
    </row>
    <row r="1184" spans="1:13" ht="33.75" customHeight="1">
      <c r="A1184" s="136" t="s">
        <v>440</v>
      </c>
      <c r="B1184" s="343" t="s">
        <v>38</v>
      </c>
      <c r="C1184" s="107" t="s">
        <v>53</v>
      </c>
      <c r="D1184" s="71" t="s">
        <v>408</v>
      </c>
      <c r="E1184" s="71" t="s">
        <v>140</v>
      </c>
      <c r="F1184" s="71" t="s">
        <v>155</v>
      </c>
      <c r="G1184" s="71" t="s">
        <v>156</v>
      </c>
      <c r="H1184" s="71"/>
      <c r="I1184" s="37">
        <f aca="true" t="shared" si="142" ref="I1184:M1186">I1185</f>
        <v>2051.3</v>
      </c>
      <c r="J1184" s="37">
        <f t="shared" si="142"/>
        <v>2051.3</v>
      </c>
      <c r="K1184" s="344">
        <f t="shared" si="139"/>
        <v>0</v>
      </c>
      <c r="L1184" s="37">
        <f t="shared" si="142"/>
        <v>2133.4</v>
      </c>
      <c r="M1184" s="37">
        <f t="shared" si="142"/>
        <v>2218.7</v>
      </c>
    </row>
    <row r="1185" spans="1:13" ht="18" customHeight="1">
      <c r="A1185" s="123" t="s">
        <v>410</v>
      </c>
      <c r="B1185" s="347" t="s">
        <v>38</v>
      </c>
      <c r="C1185" s="112" t="s">
        <v>53</v>
      </c>
      <c r="D1185" s="112" t="s">
        <v>408</v>
      </c>
      <c r="E1185" s="112" t="s">
        <v>140</v>
      </c>
      <c r="F1185" s="112" t="s">
        <v>153</v>
      </c>
      <c r="G1185" s="112" t="s">
        <v>156</v>
      </c>
      <c r="H1185" s="129"/>
      <c r="I1185" s="78">
        <f t="shared" si="142"/>
        <v>2051.3</v>
      </c>
      <c r="J1185" s="78">
        <f t="shared" si="142"/>
        <v>2051.3</v>
      </c>
      <c r="K1185" s="348">
        <f t="shared" si="139"/>
        <v>0</v>
      </c>
      <c r="L1185" s="78">
        <f t="shared" si="142"/>
        <v>2133.4</v>
      </c>
      <c r="M1185" s="78">
        <f t="shared" si="142"/>
        <v>2218.7</v>
      </c>
    </row>
    <row r="1186" spans="1:13" ht="18" customHeight="1">
      <c r="A1186" s="123" t="s">
        <v>411</v>
      </c>
      <c r="B1186" s="347" t="s">
        <v>38</v>
      </c>
      <c r="C1186" s="112" t="s">
        <v>53</v>
      </c>
      <c r="D1186" s="112" t="s">
        <v>408</v>
      </c>
      <c r="E1186" s="112" t="s">
        <v>140</v>
      </c>
      <c r="F1186" s="112" t="s">
        <v>153</v>
      </c>
      <c r="G1186" s="112" t="s">
        <v>412</v>
      </c>
      <c r="H1186" s="129"/>
      <c r="I1186" s="78">
        <f t="shared" si="142"/>
        <v>2051.3</v>
      </c>
      <c r="J1186" s="78">
        <f t="shared" si="142"/>
        <v>2051.3</v>
      </c>
      <c r="K1186" s="348">
        <f t="shared" si="139"/>
        <v>0</v>
      </c>
      <c r="L1186" s="78">
        <f t="shared" si="142"/>
        <v>2133.4</v>
      </c>
      <c r="M1186" s="78">
        <f t="shared" si="142"/>
        <v>2218.7</v>
      </c>
    </row>
    <row r="1187" spans="1:13" ht="60.75" customHeight="1">
      <c r="A1187" s="123" t="s">
        <v>755</v>
      </c>
      <c r="B1187" s="347" t="s">
        <v>38</v>
      </c>
      <c r="C1187" s="112" t="s">
        <v>53</v>
      </c>
      <c r="D1187" s="112" t="s">
        <v>408</v>
      </c>
      <c r="E1187" s="112" t="s">
        <v>140</v>
      </c>
      <c r="F1187" s="112" t="s">
        <v>153</v>
      </c>
      <c r="G1187" s="112" t="s">
        <v>412</v>
      </c>
      <c r="H1187" s="129">
        <v>100</v>
      </c>
      <c r="I1187" s="78">
        <v>2051.3</v>
      </c>
      <c r="J1187" s="78">
        <v>2051.3</v>
      </c>
      <c r="K1187" s="348">
        <f t="shared" si="139"/>
        <v>0</v>
      </c>
      <c r="L1187" s="78">
        <v>2133.4</v>
      </c>
      <c r="M1187" s="78">
        <v>2218.7</v>
      </c>
    </row>
    <row r="1188" spans="1:13" s="355" customFormat="1" ht="21" customHeight="1">
      <c r="A1188" s="91" t="s">
        <v>56</v>
      </c>
      <c r="B1188" s="343">
        <v>120</v>
      </c>
      <c r="C1188" s="107" t="s">
        <v>57</v>
      </c>
      <c r="D1188" s="107"/>
      <c r="E1188" s="107"/>
      <c r="F1188" s="107"/>
      <c r="G1188" s="107"/>
      <c r="H1188" s="105"/>
      <c r="I1188" s="37">
        <f aca="true" t="shared" si="143" ref="I1188:J1192">I1189</f>
        <v>44</v>
      </c>
      <c r="J1188" s="37">
        <f t="shared" si="143"/>
        <v>44</v>
      </c>
      <c r="K1188" s="348">
        <f t="shared" si="139"/>
        <v>0</v>
      </c>
      <c r="L1188" s="37">
        <f aca="true" t="shared" si="144" ref="L1188:M1192">L1189</f>
        <v>46</v>
      </c>
      <c r="M1188" s="37">
        <f t="shared" si="144"/>
        <v>48</v>
      </c>
    </row>
    <row r="1189" spans="1:13" s="355" customFormat="1" ht="54" customHeight="1">
      <c r="A1189" s="122" t="s">
        <v>340</v>
      </c>
      <c r="B1189" s="343">
        <v>120</v>
      </c>
      <c r="C1189" s="107" t="s">
        <v>57</v>
      </c>
      <c r="D1189" s="107" t="s">
        <v>309</v>
      </c>
      <c r="E1189" s="107" t="s">
        <v>154</v>
      </c>
      <c r="F1189" s="107" t="s">
        <v>155</v>
      </c>
      <c r="G1189" s="107" t="s">
        <v>156</v>
      </c>
      <c r="H1189" s="105"/>
      <c r="I1189" s="37">
        <f t="shared" si="143"/>
        <v>44</v>
      </c>
      <c r="J1189" s="37">
        <f t="shared" si="143"/>
        <v>44</v>
      </c>
      <c r="K1189" s="348">
        <f t="shared" si="139"/>
        <v>0</v>
      </c>
      <c r="L1189" s="37">
        <f t="shared" si="144"/>
        <v>46</v>
      </c>
      <c r="M1189" s="37">
        <f t="shared" si="144"/>
        <v>48</v>
      </c>
    </row>
    <row r="1190" spans="1:13" s="355" customFormat="1" ht="33.75" customHeight="1">
      <c r="A1190" s="109" t="s">
        <v>912</v>
      </c>
      <c r="B1190" s="343">
        <v>120</v>
      </c>
      <c r="C1190" s="107" t="s">
        <v>57</v>
      </c>
      <c r="D1190" s="107" t="s">
        <v>309</v>
      </c>
      <c r="E1190" s="107" t="s">
        <v>139</v>
      </c>
      <c r="F1190" s="107" t="s">
        <v>155</v>
      </c>
      <c r="G1190" s="107" t="s">
        <v>156</v>
      </c>
      <c r="H1190" s="105"/>
      <c r="I1190" s="37">
        <f t="shared" si="143"/>
        <v>44</v>
      </c>
      <c r="J1190" s="37">
        <f t="shared" si="143"/>
        <v>44</v>
      </c>
      <c r="K1190" s="348">
        <f t="shared" si="139"/>
        <v>0</v>
      </c>
      <c r="L1190" s="37">
        <f t="shared" si="144"/>
        <v>46</v>
      </c>
      <c r="M1190" s="37">
        <f t="shared" si="144"/>
        <v>48</v>
      </c>
    </row>
    <row r="1191" spans="1:13" ht="35.25" customHeight="1">
      <c r="A1191" s="109" t="s">
        <v>913</v>
      </c>
      <c r="B1191" s="343">
        <v>120</v>
      </c>
      <c r="C1191" s="107" t="s">
        <v>57</v>
      </c>
      <c r="D1191" s="107" t="s">
        <v>309</v>
      </c>
      <c r="E1191" s="107" t="s">
        <v>139</v>
      </c>
      <c r="F1191" s="107" t="s">
        <v>153</v>
      </c>
      <c r="G1191" s="107" t="s">
        <v>156</v>
      </c>
      <c r="H1191" s="105"/>
      <c r="I1191" s="37">
        <f t="shared" si="143"/>
        <v>44</v>
      </c>
      <c r="J1191" s="37">
        <f t="shared" si="143"/>
        <v>44</v>
      </c>
      <c r="K1191" s="348">
        <f t="shared" si="139"/>
        <v>0</v>
      </c>
      <c r="L1191" s="37">
        <f t="shared" si="144"/>
        <v>46</v>
      </c>
      <c r="M1191" s="37">
        <f t="shared" si="144"/>
        <v>48</v>
      </c>
    </row>
    <row r="1192" spans="1:13" ht="39.75" customHeight="1">
      <c r="A1192" s="114" t="s">
        <v>914</v>
      </c>
      <c r="B1192" s="347">
        <v>120</v>
      </c>
      <c r="C1192" s="112" t="s">
        <v>57</v>
      </c>
      <c r="D1192" s="112" t="s">
        <v>309</v>
      </c>
      <c r="E1192" s="112" t="s">
        <v>139</v>
      </c>
      <c r="F1192" s="112" t="s">
        <v>153</v>
      </c>
      <c r="G1192" s="112" t="s">
        <v>351</v>
      </c>
      <c r="H1192" s="129"/>
      <c r="I1192" s="78">
        <f t="shared" si="143"/>
        <v>44</v>
      </c>
      <c r="J1192" s="78">
        <f t="shared" si="143"/>
        <v>44</v>
      </c>
      <c r="K1192" s="348">
        <f t="shared" si="139"/>
        <v>0</v>
      </c>
      <c r="L1192" s="78">
        <f t="shared" si="144"/>
        <v>46</v>
      </c>
      <c r="M1192" s="78">
        <f t="shared" si="144"/>
        <v>48</v>
      </c>
    </row>
    <row r="1193" spans="1:13" ht="33.75" customHeight="1">
      <c r="A1193" s="114" t="s">
        <v>758</v>
      </c>
      <c r="B1193" s="347">
        <v>120</v>
      </c>
      <c r="C1193" s="112" t="s">
        <v>57</v>
      </c>
      <c r="D1193" s="112" t="s">
        <v>309</v>
      </c>
      <c r="E1193" s="112" t="s">
        <v>139</v>
      </c>
      <c r="F1193" s="112" t="s">
        <v>153</v>
      </c>
      <c r="G1193" s="112" t="s">
        <v>351</v>
      </c>
      <c r="H1193" s="129">
        <v>200</v>
      </c>
      <c r="I1193" s="78">
        <v>44</v>
      </c>
      <c r="J1193" s="78">
        <v>44</v>
      </c>
      <c r="K1193" s="348">
        <f t="shared" si="139"/>
        <v>0</v>
      </c>
      <c r="L1193" s="78">
        <v>46</v>
      </c>
      <c r="M1193" s="78">
        <v>48</v>
      </c>
    </row>
    <row r="1194" spans="1:13" ht="18" customHeight="1">
      <c r="A1194" s="491" t="s">
        <v>1102</v>
      </c>
      <c r="B1194" s="492"/>
      <c r="C1194" s="492"/>
      <c r="D1194" s="492"/>
      <c r="E1194" s="492"/>
      <c r="F1194" s="492"/>
      <c r="G1194" s="492"/>
      <c r="H1194" s="493"/>
      <c r="I1194" s="37">
        <f>I13+I479+I692+I741+I778+I819+I859+I955+I1165</f>
        <v>2746450.9999999995</v>
      </c>
      <c r="J1194" s="37">
        <f>J13+J479+J692+J741+J778+J819+J859+J955+J1165</f>
        <v>2795282.1</v>
      </c>
      <c r="K1194" s="344">
        <f t="shared" si="139"/>
        <v>48831.10000000056</v>
      </c>
      <c r="L1194" s="37">
        <f>L13+L479+L692+L741+L778+L819+L859+L955+L1165</f>
        <v>2591137.5999999996</v>
      </c>
      <c r="M1194" s="37">
        <f>M13+M479+M692+M741+M778+M819+M859+M955+M1165</f>
        <v>2909819.1999999997</v>
      </c>
    </row>
    <row r="1195" spans="1:13" ht="18.75" customHeight="1">
      <c r="A1195" s="477" t="s">
        <v>1100</v>
      </c>
      <c r="B1195" s="494"/>
      <c r="C1195" s="494"/>
      <c r="D1195" s="494"/>
      <c r="E1195" s="494"/>
      <c r="F1195" s="494"/>
      <c r="G1195" s="494"/>
      <c r="H1195" s="495"/>
      <c r="I1195" s="353"/>
      <c r="J1195" s="375"/>
      <c r="K1195" s="344"/>
      <c r="L1195" s="131">
        <v>23500</v>
      </c>
      <c r="M1195" s="131">
        <v>48500</v>
      </c>
    </row>
    <row r="1196" spans="1:13" s="355" customFormat="1" ht="18.75" customHeight="1">
      <c r="A1196" s="480" t="s">
        <v>1101</v>
      </c>
      <c r="B1196" s="494"/>
      <c r="C1196" s="494"/>
      <c r="D1196" s="494"/>
      <c r="E1196" s="494"/>
      <c r="F1196" s="494"/>
      <c r="G1196" s="494"/>
      <c r="H1196" s="495"/>
      <c r="I1196" s="88">
        <f>SUM(I1194:I1195)</f>
        <v>2746450.9999999995</v>
      </c>
      <c r="J1196" s="88">
        <f>SUM(J1194:J1195)</f>
        <v>2795282.1</v>
      </c>
      <c r="K1196" s="344">
        <f t="shared" si="139"/>
        <v>48831.10000000056</v>
      </c>
      <c r="L1196" s="88">
        <f>SUM(L1194:L1195)</f>
        <v>2614637.5999999996</v>
      </c>
      <c r="M1196" s="88">
        <f>SUM(M1194:M1195)</f>
        <v>2958319.1999999997</v>
      </c>
    </row>
  </sheetData>
  <sheetProtection/>
  <mergeCells count="5">
    <mergeCell ref="A8:M8"/>
    <mergeCell ref="D11:G11"/>
    <mergeCell ref="A1194:H1194"/>
    <mergeCell ref="A1195:H1195"/>
    <mergeCell ref="A1196:H1196"/>
  </mergeCells>
  <printOptions/>
  <pageMargins left="0.7086614173228347" right="0" top="0.5511811023622047" bottom="0.35433070866141736" header="0.31496062992125984" footer="0.31496062992125984"/>
  <pageSetup fitToHeight="43" horizontalDpi="600" verticalDpi="600" orientation="portrait" paperSize="9" scale="60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1">
      <selection activeCell="L5" sqref="L5"/>
    </sheetView>
  </sheetViews>
  <sheetFormatPr defaultColWidth="10.140625" defaultRowHeight="15"/>
  <cols>
    <col min="1" max="1" width="3.8515625" style="271" customWidth="1"/>
    <col min="2" max="2" width="65.8515625" style="272" customWidth="1"/>
    <col min="3" max="3" width="8.28125" style="172" hidden="1" customWidth="1"/>
    <col min="4" max="4" width="6.7109375" style="172" customWidth="1"/>
    <col min="5" max="5" width="12.57421875" style="317" customWidth="1"/>
    <col min="6" max="6" width="10.421875" style="317" customWidth="1"/>
    <col min="7" max="7" width="10.28125" style="317" customWidth="1"/>
    <col min="8" max="8" width="10.00390625" style="317" customWidth="1"/>
    <col min="9" max="9" width="11.8515625" style="317" customWidth="1"/>
    <col min="10" max="10" width="11.57421875" style="317" customWidth="1"/>
    <col min="11" max="11" width="40.57421875" style="318" customWidth="1"/>
    <col min="12" max="12" width="21.140625" style="172" customWidth="1"/>
    <col min="13" max="13" width="20.57421875" style="187" hidden="1" customWidth="1"/>
    <col min="14" max="16384" width="10.140625" style="172" customWidth="1"/>
  </cols>
  <sheetData>
    <row r="1" spans="1:13" s="270" customFormat="1" ht="15">
      <c r="A1" s="194"/>
      <c r="B1" s="193"/>
      <c r="C1" s="192"/>
      <c r="D1" s="192"/>
      <c r="E1" s="266"/>
      <c r="F1" s="266"/>
      <c r="G1" s="266"/>
      <c r="H1" s="266"/>
      <c r="I1" s="266"/>
      <c r="J1" s="266"/>
      <c r="K1" s="267"/>
      <c r="L1" s="268" t="s">
        <v>0</v>
      </c>
      <c r="M1" s="269"/>
    </row>
    <row r="2" spans="1:13" s="270" customFormat="1" ht="15">
      <c r="A2" s="194"/>
      <c r="B2" s="193"/>
      <c r="C2" s="192"/>
      <c r="D2" s="192"/>
      <c r="E2" s="266"/>
      <c r="F2" s="266"/>
      <c r="G2" s="266"/>
      <c r="H2" s="266"/>
      <c r="I2" s="266"/>
      <c r="J2" s="266"/>
      <c r="K2" s="267"/>
      <c r="L2" s="268" t="s">
        <v>1023</v>
      </c>
      <c r="M2" s="269"/>
    </row>
    <row r="3" spans="1:13" s="270" customFormat="1" ht="15">
      <c r="A3" s="194"/>
      <c r="B3" s="193"/>
      <c r="C3" s="192"/>
      <c r="D3" s="192"/>
      <c r="E3" s="266"/>
      <c r="F3" s="266"/>
      <c r="G3" s="266"/>
      <c r="H3" s="266"/>
      <c r="I3" s="266"/>
      <c r="J3" s="266"/>
      <c r="K3" s="267"/>
      <c r="L3" s="268" t="s">
        <v>2</v>
      </c>
      <c r="M3" s="269"/>
    </row>
    <row r="4" spans="1:13" s="270" customFormat="1" ht="15">
      <c r="A4" s="194"/>
      <c r="B4" s="193"/>
      <c r="C4" s="192"/>
      <c r="D4" s="192"/>
      <c r="E4" s="266"/>
      <c r="F4" s="266"/>
      <c r="G4" s="266"/>
      <c r="H4" s="266"/>
      <c r="I4" s="266"/>
      <c r="J4" s="266"/>
      <c r="K4" s="267"/>
      <c r="L4" s="268" t="s">
        <v>1259</v>
      </c>
      <c r="M4" s="269"/>
    </row>
    <row r="5" spans="1:13" s="270" customFormat="1" ht="15">
      <c r="A5" s="194"/>
      <c r="B5" s="193"/>
      <c r="C5" s="192"/>
      <c r="D5" s="192"/>
      <c r="E5" s="266"/>
      <c r="F5" s="266"/>
      <c r="G5" s="266"/>
      <c r="H5" s="266"/>
      <c r="I5" s="266"/>
      <c r="J5" s="266"/>
      <c r="K5" s="267"/>
      <c r="L5" s="268" t="s">
        <v>838</v>
      </c>
      <c r="M5" s="269"/>
    </row>
    <row r="6" spans="1:13" s="270" customFormat="1" ht="15">
      <c r="A6" s="194"/>
      <c r="B6" s="193"/>
      <c r="C6" s="192"/>
      <c r="D6" s="192"/>
      <c r="E6" s="266"/>
      <c r="F6" s="266"/>
      <c r="G6" s="266"/>
      <c r="H6" s="266"/>
      <c r="I6" s="266"/>
      <c r="J6" s="266"/>
      <c r="K6" s="267"/>
      <c r="L6" s="268"/>
      <c r="M6" s="269"/>
    </row>
    <row r="7" spans="3:12" ht="15">
      <c r="C7" s="199"/>
      <c r="D7" s="199"/>
      <c r="E7" s="273"/>
      <c r="F7" s="273"/>
      <c r="G7" s="273"/>
      <c r="H7" s="273"/>
      <c r="I7" s="273"/>
      <c r="J7" s="273"/>
      <c r="K7" s="415"/>
      <c r="L7" s="195"/>
    </row>
    <row r="8" spans="1:12" ht="18.75" customHeight="1">
      <c r="A8" s="496" t="s">
        <v>1093</v>
      </c>
      <c r="B8" s="496"/>
      <c r="C8" s="496"/>
      <c r="D8" s="496"/>
      <c r="E8" s="496"/>
      <c r="F8" s="496"/>
      <c r="G8" s="496"/>
      <c r="H8" s="496"/>
      <c r="I8" s="496"/>
      <c r="J8" s="496"/>
      <c r="K8" s="496"/>
      <c r="L8" s="496"/>
    </row>
    <row r="10" spans="1:12" ht="15">
      <c r="A10" s="274"/>
      <c r="B10" s="275"/>
      <c r="C10" s="276"/>
      <c r="D10" s="276"/>
      <c r="E10" s="277"/>
      <c r="F10" s="278"/>
      <c r="G10" s="278"/>
      <c r="H10" s="278"/>
      <c r="I10" s="278"/>
      <c r="J10" s="278"/>
      <c r="K10" s="279"/>
      <c r="L10" s="90" t="s">
        <v>839</v>
      </c>
    </row>
    <row r="11" spans="1:13" s="169" customFormat="1" ht="20.25" customHeight="1">
      <c r="A11" s="427" t="s">
        <v>812</v>
      </c>
      <c r="B11" s="427" t="s">
        <v>1025</v>
      </c>
      <c r="C11" s="427" t="s">
        <v>1026</v>
      </c>
      <c r="D11" s="497" t="s">
        <v>1027</v>
      </c>
      <c r="E11" s="499" t="s">
        <v>1028</v>
      </c>
      <c r="F11" s="500" t="s">
        <v>1029</v>
      </c>
      <c r="G11" s="502" t="s">
        <v>1030</v>
      </c>
      <c r="H11" s="503"/>
      <c r="I11" s="329" t="s">
        <v>743</v>
      </c>
      <c r="J11" s="329" t="s">
        <v>878</v>
      </c>
      <c r="K11" s="504" t="s">
        <v>1031</v>
      </c>
      <c r="L11" s="505"/>
      <c r="M11" s="497" t="s">
        <v>1032</v>
      </c>
    </row>
    <row r="12" spans="1:13" s="169" customFormat="1" ht="44.25" customHeight="1">
      <c r="A12" s="427"/>
      <c r="B12" s="427"/>
      <c r="C12" s="427"/>
      <c r="D12" s="498"/>
      <c r="E12" s="499"/>
      <c r="F12" s="501"/>
      <c r="G12" s="95" t="s">
        <v>1033</v>
      </c>
      <c r="H12" s="95" t="s">
        <v>1034</v>
      </c>
      <c r="I12" s="95" t="s">
        <v>1033</v>
      </c>
      <c r="J12" s="95" t="s">
        <v>1033</v>
      </c>
      <c r="K12" s="506"/>
      <c r="L12" s="507"/>
      <c r="M12" s="498"/>
    </row>
    <row r="13" spans="1:13" ht="18.75" customHeight="1">
      <c r="A13" s="508" t="s">
        <v>214</v>
      </c>
      <c r="B13" s="509"/>
      <c r="C13" s="509"/>
      <c r="D13" s="509"/>
      <c r="E13" s="509"/>
      <c r="F13" s="509"/>
      <c r="G13" s="509"/>
      <c r="H13" s="509"/>
      <c r="I13" s="509"/>
      <c r="J13" s="509"/>
      <c r="K13" s="509"/>
      <c r="L13" s="510"/>
      <c r="M13" s="74"/>
    </row>
    <row r="14" spans="1:13" ht="18" customHeight="1">
      <c r="A14" s="281"/>
      <c r="B14" s="509" t="s">
        <v>230</v>
      </c>
      <c r="C14" s="509"/>
      <c r="D14" s="509"/>
      <c r="E14" s="509"/>
      <c r="F14" s="509"/>
      <c r="G14" s="509"/>
      <c r="H14" s="509"/>
      <c r="I14" s="509"/>
      <c r="J14" s="509"/>
      <c r="K14" s="509"/>
      <c r="L14" s="510"/>
      <c r="M14" s="74"/>
    </row>
    <row r="15" spans="1:13" ht="16.5" customHeight="1">
      <c r="A15" s="282">
        <v>1</v>
      </c>
      <c r="B15" s="206" t="s">
        <v>1035</v>
      </c>
      <c r="C15" s="283"/>
      <c r="D15" s="282">
        <v>2019</v>
      </c>
      <c r="E15" s="284">
        <v>6000</v>
      </c>
      <c r="F15" s="284">
        <f>G15+H15</f>
        <v>6000</v>
      </c>
      <c r="G15" s="284">
        <v>6000</v>
      </c>
      <c r="H15" s="285"/>
      <c r="I15" s="299">
        <v>13717.3</v>
      </c>
      <c r="J15" s="299">
        <v>14293.5</v>
      </c>
      <c r="K15" s="511" t="s">
        <v>1036</v>
      </c>
      <c r="L15" s="512"/>
      <c r="M15" s="74"/>
    </row>
    <row r="16" spans="1:13" ht="15">
      <c r="A16" s="94"/>
      <c r="B16" s="283" t="s">
        <v>1037</v>
      </c>
      <c r="C16" s="283"/>
      <c r="D16" s="283"/>
      <c r="E16" s="286">
        <f>E15</f>
        <v>6000</v>
      </c>
      <c r="F16" s="286">
        <f>G16+H16</f>
        <v>6000</v>
      </c>
      <c r="G16" s="286">
        <f aca="true" t="shared" si="0" ref="G16:J17">G15</f>
        <v>6000</v>
      </c>
      <c r="H16" s="286">
        <f t="shared" si="0"/>
        <v>0</v>
      </c>
      <c r="I16" s="286">
        <f t="shared" si="0"/>
        <v>13717.3</v>
      </c>
      <c r="J16" s="286">
        <f t="shared" si="0"/>
        <v>14293.5</v>
      </c>
      <c r="K16" s="413"/>
      <c r="L16" s="414"/>
      <c r="M16" s="74"/>
    </row>
    <row r="17" spans="1:13" ht="15">
      <c r="A17" s="94"/>
      <c r="B17" s="283" t="s">
        <v>1038</v>
      </c>
      <c r="C17" s="283"/>
      <c r="D17" s="283"/>
      <c r="E17" s="286">
        <f>E16</f>
        <v>6000</v>
      </c>
      <c r="F17" s="286">
        <f>G17+H17</f>
        <v>6000</v>
      </c>
      <c r="G17" s="286">
        <f t="shared" si="0"/>
        <v>6000</v>
      </c>
      <c r="H17" s="286">
        <f t="shared" si="0"/>
        <v>0</v>
      </c>
      <c r="I17" s="286">
        <f t="shared" si="0"/>
        <v>13717.3</v>
      </c>
      <c r="J17" s="286">
        <f t="shared" si="0"/>
        <v>14293.5</v>
      </c>
      <c r="K17" s="413"/>
      <c r="L17" s="414"/>
      <c r="M17" s="74"/>
    </row>
    <row r="18" spans="1:13" ht="18.75" customHeight="1">
      <c r="A18" s="513" t="s">
        <v>1039</v>
      </c>
      <c r="B18" s="514"/>
      <c r="C18" s="514"/>
      <c r="D18" s="514"/>
      <c r="E18" s="514"/>
      <c r="F18" s="514"/>
      <c r="G18" s="514"/>
      <c r="H18" s="514"/>
      <c r="I18" s="514"/>
      <c r="J18" s="514"/>
      <c r="K18" s="514"/>
      <c r="L18" s="515"/>
      <c r="M18" s="74"/>
    </row>
    <row r="19" spans="1:13" ht="17.25" customHeight="1">
      <c r="A19" s="516" t="s">
        <v>143</v>
      </c>
      <c r="B19" s="517"/>
      <c r="C19" s="517"/>
      <c r="D19" s="517"/>
      <c r="E19" s="517"/>
      <c r="F19" s="517"/>
      <c r="G19" s="517"/>
      <c r="H19" s="517"/>
      <c r="I19" s="517"/>
      <c r="J19" s="517"/>
      <c r="K19" s="517"/>
      <c r="L19" s="518"/>
      <c r="M19" s="74"/>
    </row>
    <row r="20" spans="1:13" ht="51.75" customHeight="1">
      <c r="A20" s="280">
        <v>2</v>
      </c>
      <c r="B20" s="287" t="s">
        <v>1040</v>
      </c>
      <c r="C20" s="288" t="s">
        <v>1041</v>
      </c>
      <c r="D20" s="282">
        <v>2019</v>
      </c>
      <c r="E20" s="175">
        <v>2000</v>
      </c>
      <c r="F20" s="289">
        <f aca="true" t="shared" si="1" ref="F20:F35">G20+H20</f>
        <v>400</v>
      </c>
      <c r="G20" s="290">
        <v>400</v>
      </c>
      <c r="H20" s="290"/>
      <c r="I20" s="290"/>
      <c r="J20" s="290"/>
      <c r="K20" s="519" t="s">
        <v>1221</v>
      </c>
      <c r="L20" s="520"/>
      <c r="M20" s="74"/>
    </row>
    <row r="21" spans="1:13" ht="30.75" customHeight="1">
      <c r="A21" s="280">
        <v>3</v>
      </c>
      <c r="B21" s="287" t="s">
        <v>1042</v>
      </c>
      <c r="C21" s="288"/>
      <c r="D21" s="282">
        <v>2019</v>
      </c>
      <c r="E21" s="291">
        <v>1510</v>
      </c>
      <c r="F21" s="289">
        <f t="shared" si="1"/>
        <v>600</v>
      </c>
      <c r="G21" s="292">
        <v>600</v>
      </c>
      <c r="H21" s="292"/>
      <c r="I21" s="292"/>
      <c r="J21" s="292"/>
      <c r="K21" s="519" t="s">
        <v>1226</v>
      </c>
      <c r="L21" s="521"/>
      <c r="M21" s="74"/>
    </row>
    <row r="22" spans="1:13" ht="46.5" customHeight="1">
      <c r="A22" s="280">
        <v>4</v>
      </c>
      <c r="B22" s="287" t="s">
        <v>1185</v>
      </c>
      <c r="C22" s="288"/>
      <c r="D22" s="282">
        <v>2019</v>
      </c>
      <c r="E22" s="175">
        <v>5622</v>
      </c>
      <c r="F22" s="289">
        <f t="shared" si="1"/>
        <v>5622</v>
      </c>
      <c r="G22" s="290">
        <f>4345.5+1276.5</f>
        <v>5622</v>
      </c>
      <c r="H22" s="292"/>
      <c r="I22" s="292"/>
      <c r="J22" s="292"/>
      <c r="K22" s="523" t="s">
        <v>1251</v>
      </c>
      <c r="L22" s="524"/>
      <c r="M22" s="74"/>
    </row>
    <row r="23" spans="1:13" ht="51" customHeight="1">
      <c r="A23" s="280">
        <v>5</v>
      </c>
      <c r="B23" s="293" t="s">
        <v>1043</v>
      </c>
      <c r="C23" s="288"/>
      <c r="D23" s="282">
        <v>2019</v>
      </c>
      <c r="E23" s="175">
        <v>2936.1</v>
      </c>
      <c r="F23" s="289">
        <f t="shared" si="1"/>
        <v>2936.1</v>
      </c>
      <c r="G23" s="290">
        <f>2385.7+550.4</f>
        <v>2936.1</v>
      </c>
      <c r="H23" s="292"/>
      <c r="I23" s="292"/>
      <c r="J23" s="292"/>
      <c r="K23" s="519" t="s">
        <v>1227</v>
      </c>
      <c r="L23" s="521"/>
      <c r="M23" s="74"/>
    </row>
    <row r="24" spans="1:13" ht="23.25" customHeight="1">
      <c r="A24" s="280">
        <v>6</v>
      </c>
      <c r="B24" s="293" t="s">
        <v>1228</v>
      </c>
      <c r="C24" s="288"/>
      <c r="D24" s="282">
        <v>2019</v>
      </c>
      <c r="E24" s="175">
        <v>203.6</v>
      </c>
      <c r="F24" s="289">
        <f t="shared" si="1"/>
        <v>203.6</v>
      </c>
      <c r="G24" s="290">
        <v>203.6</v>
      </c>
      <c r="H24" s="292"/>
      <c r="I24" s="292"/>
      <c r="J24" s="292"/>
      <c r="K24" s="525" t="s">
        <v>1229</v>
      </c>
      <c r="L24" s="526"/>
      <c r="M24" s="74"/>
    </row>
    <row r="25" spans="1:13" ht="33.75" customHeight="1">
      <c r="A25" s="280">
        <v>7</v>
      </c>
      <c r="B25" s="293" t="s">
        <v>1044</v>
      </c>
      <c r="C25" s="288"/>
      <c r="D25" s="282">
        <v>2019</v>
      </c>
      <c r="E25" s="291">
        <v>2000</v>
      </c>
      <c r="F25" s="289">
        <f t="shared" si="1"/>
        <v>839.8</v>
      </c>
      <c r="G25" s="292">
        <v>839.8</v>
      </c>
      <c r="H25" s="292"/>
      <c r="I25" s="292"/>
      <c r="J25" s="292"/>
      <c r="K25" s="519" t="s">
        <v>1230</v>
      </c>
      <c r="L25" s="526"/>
      <c r="M25" s="74"/>
    </row>
    <row r="26" spans="1:13" ht="18" customHeight="1">
      <c r="A26" s="280">
        <v>8</v>
      </c>
      <c r="B26" s="287" t="s">
        <v>1046</v>
      </c>
      <c r="C26" s="288"/>
      <c r="D26" s="282">
        <v>2019</v>
      </c>
      <c r="E26" s="291">
        <v>6500</v>
      </c>
      <c r="F26" s="289">
        <f t="shared" si="1"/>
        <v>2100</v>
      </c>
      <c r="G26" s="292">
        <v>2100</v>
      </c>
      <c r="H26" s="292"/>
      <c r="I26" s="292"/>
      <c r="J26" s="292"/>
      <c r="K26" s="519" t="s">
        <v>1047</v>
      </c>
      <c r="L26" s="521"/>
      <c r="M26" s="74"/>
    </row>
    <row r="27" spans="1:13" ht="33" customHeight="1">
      <c r="A27" s="280">
        <v>9</v>
      </c>
      <c r="B27" s="293" t="s">
        <v>1186</v>
      </c>
      <c r="C27" s="288"/>
      <c r="D27" s="282">
        <v>2019</v>
      </c>
      <c r="E27" s="175">
        <v>377.2</v>
      </c>
      <c r="F27" s="289">
        <f t="shared" si="1"/>
        <v>377.2</v>
      </c>
      <c r="G27" s="290">
        <v>377.2</v>
      </c>
      <c r="H27" s="292"/>
      <c r="I27" s="292"/>
      <c r="J27" s="292"/>
      <c r="K27" s="519" t="s">
        <v>1187</v>
      </c>
      <c r="L27" s="522"/>
      <c r="M27" s="74"/>
    </row>
    <row r="28" spans="1:13" ht="21" customHeight="1">
      <c r="A28" s="280">
        <v>10</v>
      </c>
      <c r="B28" s="293" t="s">
        <v>1188</v>
      </c>
      <c r="C28" s="288"/>
      <c r="D28" s="282">
        <v>2019</v>
      </c>
      <c r="E28" s="175">
        <v>389.9</v>
      </c>
      <c r="F28" s="289">
        <f t="shared" si="1"/>
        <v>389.9</v>
      </c>
      <c r="G28" s="290">
        <v>389.9</v>
      </c>
      <c r="H28" s="292"/>
      <c r="I28" s="292"/>
      <c r="J28" s="292"/>
      <c r="K28" s="98" t="s">
        <v>1189</v>
      </c>
      <c r="L28" s="416"/>
      <c r="M28" s="74"/>
    </row>
    <row r="29" spans="1:13" ht="21" customHeight="1">
      <c r="A29" s="280">
        <v>11</v>
      </c>
      <c r="B29" s="293" t="s">
        <v>1231</v>
      </c>
      <c r="C29" s="288"/>
      <c r="D29" s="282">
        <v>2019</v>
      </c>
      <c r="E29" s="290">
        <v>659</v>
      </c>
      <c r="F29" s="289">
        <f t="shared" si="1"/>
        <v>659</v>
      </c>
      <c r="G29" s="290">
        <v>659</v>
      </c>
      <c r="H29" s="292"/>
      <c r="I29" s="292"/>
      <c r="J29" s="292"/>
      <c r="K29" s="525" t="s">
        <v>1232</v>
      </c>
      <c r="L29" s="526"/>
      <c r="M29" s="74"/>
    </row>
    <row r="30" spans="1:13" ht="30.75" customHeight="1">
      <c r="A30" s="280">
        <v>12</v>
      </c>
      <c r="B30" s="287" t="s">
        <v>1048</v>
      </c>
      <c r="C30" s="288"/>
      <c r="D30" s="282">
        <v>2019</v>
      </c>
      <c r="E30" s="290">
        <f>1198.3+333.9</f>
        <v>1532.1999999999998</v>
      </c>
      <c r="F30" s="289">
        <f t="shared" si="1"/>
        <v>1532.1999999999998</v>
      </c>
      <c r="G30" s="290">
        <f>1198.3+333.9</f>
        <v>1532.1999999999998</v>
      </c>
      <c r="H30" s="292"/>
      <c r="I30" s="292"/>
      <c r="J30" s="292"/>
      <c r="K30" s="519" t="s">
        <v>1233</v>
      </c>
      <c r="L30" s="521"/>
      <c r="M30" s="74"/>
    </row>
    <row r="31" spans="1:13" ht="18" customHeight="1">
      <c r="A31" s="280">
        <v>13</v>
      </c>
      <c r="B31" s="287" t="s">
        <v>1154</v>
      </c>
      <c r="C31" s="288"/>
      <c r="D31" s="282">
        <v>2019</v>
      </c>
      <c r="E31" s="291">
        <v>1352.8</v>
      </c>
      <c r="F31" s="289">
        <f t="shared" si="1"/>
        <v>1352.8</v>
      </c>
      <c r="G31" s="292">
        <v>1352.8</v>
      </c>
      <c r="H31" s="292"/>
      <c r="I31" s="292"/>
      <c r="J31" s="292"/>
      <c r="K31" s="98" t="s">
        <v>1045</v>
      </c>
      <c r="L31" s="412"/>
      <c r="M31" s="74"/>
    </row>
    <row r="32" spans="1:13" ht="18" customHeight="1">
      <c r="A32" s="280">
        <v>14</v>
      </c>
      <c r="B32" s="287" t="s">
        <v>1054</v>
      </c>
      <c r="C32" s="288"/>
      <c r="D32" s="282">
        <v>2019</v>
      </c>
      <c r="E32" s="291">
        <v>1061.2</v>
      </c>
      <c r="F32" s="289">
        <f t="shared" si="1"/>
        <v>1061.2</v>
      </c>
      <c r="G32" s="292">
        <v>1061.2</v>
      </c>
      <c r="H32" s="292"/>
      <c r="I32" s="292"/>
      <c r="J32" s="292"/>
      <c r="K32" s="98" t="s">
        <v>1156</v>
      </c>
      <c r="L32" s="412"/>
      <c r="M32" s="74"/>
    </row>
    <row r="33" spans="1:13" ht="65.25" customHeight="1">
      <c r="A33" s="280">
        <v>15</v>
      </c>
      <c r="B33" s="74" t="s">
        <v>1049</v>
      </c>
      <c r="C33" s="288"/>
      <c r="D33" s="282">
        <v>2019</v>
      </c>
      <c r="E33" s="175">
        <v>1404.5</v>
      </c>
      <c r="F33" s="289">
        <f t="shared" si="1"/>
        <v>1404.5</v>
      </c>
      <c r="G33" s="290">
        <f>1233.9+170.6</f>
        <v>1404.5</v>
      </c>
      <c r="H33" s="292"/>
      <c r="I33" s="292"/>
      <c r="J33" s="292"/>
      <c r="K33" s="519" t="s">
        <v>1235</v>
      </c>
      <c r="L33" s="521"/>
      <c r="M33" s="74"/>
    </row>
    <row r="34" spans="1:13" ht="20.25" customHeight="1">
      <c r="A34" s="280">
        <v>16</v>
      </c>
      <c r="B34" s="287" t="s">
        <v>1234</v>
      </c>
      <c r="C34" s="288"/>
      <c r="D34" s="282">
        <v>2019</v>
      </c>
      <c r="E34" s="291">
        <v>384</v>
      </c>
      <c r="F34" s="289">
        <f t="shared" si="1"/>
        <v>384</v>
      </c>
      <c r="G34" s="292">
        <v>384</v>
      </c>
      <c r="H34" s="292"/>
      <c r="I34" s="292"/>
      <c r="J34" s="292"/>
      <c r="K34" s="418" t="s">
        <v>1252</v>
      </c>
      <c r="L34" s="417"/>
      <c r="M34" s="74"/>
    </row>
    <row r="35" spans="1:13" ht="20.25" customHeight="1">
      <c r="A35" s="280">
        <v>17</v>
      </c>
      <c r="B35" s="287" t="s">
        <v>1155</v>
      </c>
      <c r="C35" s="288"/>
      <c r="D35" s="282">
        <v>2019</v>
      </c>
      <c r="E35" s="291">
        <v>1530</v>
      </c>
      <c r="F35" s="289">
        <f t="shared" si="1"/>
        <v>0</v>
      </c>
      <c r="G35" s="292"/>
      <c r="H35" s="292"/>
      <c r="I35" s="292"/>
      <c r="J35" s="292"/>
      <c r="K35" s="519" t="s">
        <v>1051</v>
      </c>
      <c r="L35" s="521"/>
      <c r="M35" s="74"/>
    </row>
    <row r="36" spans="1:13" ht="15">
      <c r="A36" s="280"/>
      <c r="B36" s="294" t="s">
        <v>1052</v>
      </c>
      <c r="C36" s="295"/>
      <c r="D36" s="295"/>
      <c r="E36" s="296">
        <f aca="true" t="shared" si="2" ref="E36:J36">SUM(E20:E35)</f>
        <v>29462.500000000004</v>
      </c>
      <c r="F36" s="296">
        <f t="shared" si="2"/>
        <v>19862.3</v>
      </c>
      <c r="G36" s="296">
        <f t="shared" si="2"/>
        <v>19862.3</v>
      </c>
      <c r="H36" s="296">
        <f t="shared" si="2"/>
        <v>0</v>
      </c>
      <c r="I36" s="296">
        <f t="shared" si="2"/>
        <v>0</v>
      </c>
      <c r="J36" s="296">
        <f t="shared" si="2"/>
        <v>0</v>
      </c>
      <c r="K36" s="527"/>
      <c r="L36" s="528"/>
      <c r="M36" s="74"/>
    </row>
    <row r="37" spans="1:13" ht="18" customHeight="1">
      <c r="A37" s="529" t="s">
        <v>1053</v>
      </c>
      <c r="B37" s="530"/>
      <c r="C37" s="530"/>
      <c r="D37" s="530"/>
      <c r="E37" s="530"/>
      <c r="F37" s="530"/>
      <c r="G37" s="530"/>
      <c r="H37" s="530"/>
      <c r="I37" s="530"/>
      <c r="J37" s="530"/>
      <c r="K37" s="530"/>
      <c r="L37" s="531"/>
      <c r="M37" s="74"/>
    </row>
    <row r="38" spans="1:13" ht="46.5" customHeight="1">
      <c r="A38" s="532">
        <v>18</v>
      </c>
      <c r="B38" s="534" t="s">
        <v>1054</v>
      </c>
      <c r="C38" s="297"/>
      <c r="D38" s="282">
        <v>2019</v>
      </c>
      <c r="E38" s="175">
        <v>6244</v>
      </c>
      <c r="F38" s="289">
        <f>G38+H38</f>
        <v>6244</v>
      </c>
      <c r="G38" s="290">
        <f>5000+857+387</f>
        <v>6244</v>
      </c>
      <c r="H38" s="298"/>
      <c r="I38" s="328"/>
      <c r="J38" s="328"/>
      <c r="K38" s="519" t="s">
        <v>1222</v>
      </c>
      <c r="L38" s="520"/>
      <c r="M38" s="74"/>
    </row>
    <row r="39" spans="1:13" ht="34.5" customHeight="1" hidden="1">
      <c r="A39" s="533"/>
      <c r="B39" s="535"/>
      <c r="C39" s="297"/>
      <c r="D39" s="282">
        <v>2019</v>
      </c>
      <c r="E39" s="175"/>
      <c r="F39" s="289">
        <f>G39+H39</f>
        <v>0</v>
      </c>
      <c r="G39" s="290"/>
      <c r="H39" s="298"/>
      <c r="I39" s="328"/>
      <c r="J39" s="328"/>
      <c r="K39" s="98"/>
      <c r="L39" s="99"/>
      <c r="M39" s="74"/>
    </row>
    <row r="40" spans="1:13" ht="24.75" customHeight="1">
      <c r="A40" s="280">
        <v>19</v>
      </c>
      <c r="B40" s="74" t="s">
        <v>1049</v>
      </c>
      <c r="C40" s="297"/>
      <c r="D40" s="282">
        <v>2019</v>
      </c>
      <c r="E40" s="175">
        <v>71.8</v>
      </c>
      <c r="F40" s="289">
        <f>G40+H40</f>
        <v>71.8</v>
      </c>
      <c r="G40" s="290">
        <v>71.8</v>
      </c>
      <c r="H40" s="298"/>
      <c r="I40" s="328"/>
      <c r="J40" s="328"/>
      <c r="K40" s="525" t="s">
        <v>1236</v>
      </c>
      <c r="L40" s="526"/>
      <c r="M40" s="74"/>
    </row>
    <row r="41" spans="1:13" ht="63" customHeight="1">
      <c r="A41" s="532">
        <v>20</v>
      </c>
      <c r="B41" s="534" t="s">
        <v>1055</v>
      </c>
      <c r="C41" s="297"/>
      <c r="D41" s="282">
        <v>2019</v>
      </c>
      <c r="E41" s="175">
        <v>2000</v>
      </c>
      <c r="F41" s="289">
        <f aca="true" t="shared" si="3" ref="F41:F52">G41+H41</f>
        <v>943.7</v>
      </c>
      <c r="G41" s="290">
        <v>943.7</v>
      </c>
      <c r="H41" s="299"/>
      <c r="I41" s="300"/>
      <c r="J41" s="300"/>
      <c r="K41" s="519" t="s">
        <v>1237</v>
      </c>
      <c r="L41" s="520"/>
      <c r="M41" s="74"/>
    </row>
    <row r="42" spans="1:13" ht="26.25" customHeight="1" hidden="1">
      <c r="A42" s="533"/>
      <c r="B42" s="535"/>
      <c r="C42" s="297"/>
      <c r="D42" s="282">
        <v>2019</v>
      </c>
      <c r="E42" s="175"/>
      <c r="F42" s="289">
        <f t="shared" si="3"/>
        <v>0</v>
      </c>
      <c r="G42" s="290"/>
      <c r="H42" s="299"/>
      <c r="I42" s="300"/>
      <c r="J42" s="300"/>
      <c r="K42" s="519"/>
      <c r="L42" s="521"/>
      <c r="M42" s="74"/>
    </row>
    <row r="43" spans="1:13" ht="64.5" customHeight="1">
      <c r="A43" s="280">
        <v>21</v>
      </c>
      <c r="B43" s="287" t="s">
        <v>1050</v>
      </c>
      <c r="C43" s="297"/>
      <c r="D43" s="282">
        <v>2019</v>
      </c>
      <c r="E43" s="175">
        <v>1300</v>
      </c>
      <c r="F43" s="289">
        <f t="shared" si="3"/>
        <v>214</v>
      </c>
      <c r="G43" s="290">
        <v>214</v>
      </c>
      <c r="H43" s="300"/>
      <c r="I43" s="300"/>
      <c r="J43" s="300"/>
      <c r="K43" s="519" t="s">
        <v>1255</v>
      </c>
      <c r="L43" s="520"/>
      <c r="M43" s="74"/>
    </row>
    <row r="44" spans="1:13" ht="21.75" customHeight="1">
      <c r="A44" s="280">
        <v>22</v>
      </c>
      <c r="B44" s="287" t="s">
        <v>1190</v>
      </c>
      <c r="C44" s="297"/>
      <c r="D44" s="282">
        <v>2019</v>
      </c>
      <c r="E44" s="290">
        <v>298</v>
      </c>
      <c r="F44" s="289">
        <f t="shared" si="3"/>
        <v>298</v>
      </c>
      <c r="G44" s="290">
        <v>298</v>
      </c>
      <c r="H44" s="300"/>
      <c r="I44" s="300"/>
      <c r="J44" s="300"/>
      <c r="K44" s="98" t="s">
        <v>1192</v>
      </c>
      <c r="L44" s="99"/>
      <c r="M44" s="74"/>
    </row>
    <row r="45" spans="1:13" ht="68.25" customHeight="1">
      <c r="A45" s="280">
        <v>23</v>
      </c>
      <c r="B45" s="287" t="s">
        <v>1191</v>
      </c>
      <c r="C45" s="297"/>
      <c r="D45" s="282">
        <v>2019</v>
      </c>
      <c r="E45" s="290">
        <v>2451.8</v>
      </c>
      <c r="F45" s="289">
        <f t="shared" si="3"/>
        <v>2451.8999999999996</v>
      </c>
      <c r="G45" s="290">
        <f>1555.6+896.3</f>
        <v>2451.8999999999996</v>
      </c>
      <c r="H45" s="300"/>
      <c r="I45" s="300"/>
      <c r="J45" s="300"/>
      <c r="K45" s="519" t="s">
        <v>1238</v>
      </c>
      <c r="L45" s="522"/>
      <c r="M45" s="74"/>
    </row>
    <row r="46" spans="1:13" ht="51" customHeight="1">
      <c r="A46" s="280">
        <v>24</v>
      </c>
      <c r="B46" s="287" t="s">
        <v>1193</v>
      </c>
      <c r="C46" s="297"/>
      <c r="D46" s="282">
        <v>2019</v>
      </c>
      <c r="E46" s="290">
        <v>722.8</v>
      </c>
      <c r="F46" s="289">
        <f t="shared" si="3"/>
        <v>722.8</v>
      </c>
      <c r="G46" s="290">
        <v>722.8</v>
      </c>
      <c r="H46" s="300"/>
      <c r="I46" s="300"/>
      <c r="J46" s="300"/>
      <c r="K46" s="519" t="s">
        <v>1239</v>
      </c>
      <c r="L46" s="522"/>
      <c r="M46" s="74"/>
    </row>
    <row r="47" spans="1:13" ht="26.25" customHeight="1">
      <c r="A47" s="280">
        <v>25</v>
      </c>
      <c r="B47" s="287" t="s">
        <v>1240</v>
      </c>
      <c r="C47" s="297"/>
      <c r="D47" s="282">
        <v>2019</v>
      </c>
      <c r="E47" s="290">
        <v>30</v>
      </c>
      <c r="F47" s="289">
        <f t="shared" si="3"/>
        <v>30</v>
      </c>
      <c r="G47" s="290">
        <v>30</v>
      </c>
      <c r="H47" s="300"/>
      <c r="I47" s="300"/>
      <c r="J47" s="300"/>
      <c r="K47" s="525" t="s">
        <v>1241</v>
      </c>
      <c r="L47" s="526"/>
      <c r="M47" s="74"/>
    </row>
    <row r="48" spans="1:13" ht="51" customHeight="1">
      <c r="A48" s="280">
        <v>26</v>
      </c>
      <c r="B48" s="287" t="s">
        <v>1057</v>
      </c>
      <c r="C48" s="288" t="s">
        <v>1058</v>
      </c>
      <c r="D48" s="282" t="s">
        <v>1160</v>
      </c>
      <c r="E48" s="175">
        <f>56976+350</f>
        <v>57326</v>
      </c>
      <c r="F48" s="289">
        <f t="shared" si="3"/>
        <v>57326</v>
      </c>
      <c r="G48" s="290">
        <f>6976+350</f>
        <v>7326</v>
      </c>
      <c r="H48" s="290">
        <v>50000</v>
      </c>
      <c r="I48" s="290">
        <f>41260+260000</f>
        <v>301260</v>
      </c>
      <c r="J48" s="290">
        <f>41260+522600</f>
        <v>563860</v>
      </c>
      <c r="K48" s="519" t="s">
        <v>1223</v>
      </c>
      <c r="L48" s="520"/>
      <c r="M48" s="74"/>
    </row>
    <row r="49" spans="1:13" ht="33.75" customHeight="1">
      <c r="A49" s="280">
        <v>27</v>
      </c>
      <c r="B49" s="287" t="s">
        <v>1059</v>
      </c>
      <c r="C49" s="288"/>
      <c r="D49" s="282">
        <v>2019</v>
      </c>
      <c r="E49" s="175">
        <v>2050</v>
      </c>
      <c r="F49" s="289">
        <f t="shared" si="3"/>
        <v>0</v>
      </c>
      <c r="G49" s="290"/>
      <c r="H49" s="290"/>
      <c r="I49" s="290"/>
      <c r="J49" s="290"/>
      <c r="K49" s="519" t="s">
        <v>1060</v>
      </c>
      <c r="L49" s="520"/>
      <c r="M49" s="74"/>
    </row>
    <row r="50" spans="1:13" ht="36" customHeight="1">
      <c r="A50" s="280">
        <v>28</v>
      </c>
      <c r="B50" s="287" t="s">
        <v>1157</v>
      </c>
      <c r="C50" s="288"/>
      <c r="D50" s="282">
        <v>2019</v>
      </c>
      <c r="E50" s="175">
        <v>827.2</v>
      </c>
      <c r="F50" s="289">
        <f t="shared" si="3"/>
        <v>827.2</v>
      </c>
      <c r="G50" s="290">
        <v>827.2</v>
      </c>
      <c r="H50" s="290"/>
      <c r="I50" s="290"/>
      <c r="J50" s="290"/>
      <c r="K50" s="519" t="s">
        <v>1256</v>
      </c>
      <c r="L50" s="526"/>
      <c r="M50" s="74"/>
    </row>
    <row r="51" spans="1:13" ht="53.25" customHeight="1">
      <c r="A51" s="280">
        <v>29</v>
      </c>
      <c r="B51" s="287" t="s">
        <v>1242</v>
      </c>
      <c r="C51" s="288"/>
      <c r="D51" s="282">
        <v>2019</v>
      </c>
      <c r="E51" s="175">
        <v>600</v>
      </c>
      <c r="F51" s="289">
        <f t="shared" si="3"/>
        <v>600</v>
      </c>
      <c r="G51" s="290">
        <v>600</v>
      </c>
      <c r="H51" s="290"/>
      <c r="I51" s="290"/>
      <c r="J51" s="290"/>
      <c r="K51" s="525" t="s">
        <v>1253</v>
      </c>
      <c r="L51" s="553"/>
      <c r="M51" s="74"/>
    </row>
    <row r="52" spans="1:13" ht="35.25" customHeight="1">
      <c r="A52" s="280">
        <v>30</v>
      </c>
      <c r="B52" s="287" t="s">
        <v>1061</v>
      </c>
      <c r="C52" s="288"/>
      <c r="D52" s="282">
        <v>2019</v>
      </c>
      <c r="E52" s="175">
        <v>12300</v>
      </c>
      <c r="F52" s="289">
        <f t="shared" si="3"/>
        <v>12300</v>
      </c>
      <c r="G52" s="290">
        <v>1300</v>
      </c>
      <c r="H52" s="290">
        <v>11000</v>
      </c>
      <c r="I52" s="290"/>
      <c r="J52" s="290"/>
      <c r="K52" s="519" t="s">
        <v>1056</v>
      </c>
      <c r="L52" s="521"/>
      <c r="M52" s="74"/>
    </row>
    <row r="53" spans="1:13" ht="18.75" customHeight="1">
      <c r="A53" s="280"/>
      <c r="B53" s="294" t="s">
        <v>1037</v>
      </c>
      <c r="C53" s="295"/>
      <c r="D53" s="295"/>
      <c r="E53" s="296">
        <f aca="true" t="shared" si="4" ref="E53:J53">SUM(E38:E52)</f>
        <v>86221.59999999999</v>
      </c>
      <c r="F53" s="296">
        <f t="shared" si="4"/>
        <v>82029.4</v>
      </c>
      <c r="G53" s="296">
        <f t="shared" si="4"/>
        <v>21029.399999999998</v>
      </c>
      <c r="H53" s="296">
        <f t="shared" si="4"/>
        <v>61000</v>
      </c>
      <c r="I53" s="296">
        <f t="shared" si="4"/>
        <v>301260</v>
      </c>
      <c r="J53" s="296">
        <f t="shared" si="4"/>
        <v>563860</v>
      </c>
      <c r="K53" s="536"/>
      <c r="L53" s="537"/>
      <c r="M53" s="74"/>
    </row>
    <row r="54" spans="1:13" ht="15" customHeight="1">
      <c r="A54" s="529" t="s">
        <v>144</v>
      </c>
      <c r="B54" s="530"/>
      <c r="C54" s="530"/>
      <c r="D54" s="530"/>
      <c r="E54" s="530"/>
      <c r="F54" s="530"/>
      <c r="G54" s="530"/>
      <c r="H54" s="530"/>
      <c r="I54" s="530"/>
      <c r="J54" s="530"/>
      <c r="K54" s="530"/>
      <c r="L54" s="531"/>
      <c r="M54" s="74"/>
    </row>
    <row r="55" spans="1:13" ht="70.5" customHeight="1">
      <c r="A55" s="280">
        <v>31</v>
      </c>
      <c r="B55" s="301" t="s">
        <v>1062</v>
      </c>
      <c r="C55" s="288" t="s">
        <v>1063</v>
      </c>
      <c r="D55" s="282">
        <v>2019</v>
      </c>
      <c r="E55" s="299">
        <v>4376.6</v>
      </c>
      <c r="F55" s="300">
        <f>G55+H55</f>
        <v>4376.6</v>
      </c>
      <c r="G55" s="300">
        <f>1300+3076.6</f>
        <v>4376.6</v>
      </c>
      <c r="H55" s="300"/>
      <c r="I55" s="300"/>
      <c r="J55" s="300"/>
      <c r="K55" s="525" t="s">
        <v>1243</v>
      </c>
      <c r="L55" s="538"/>
      <c r="M55" s="74"/>
    </row>
    <row r="56" spans="1:13" ht="34.5" customHeight="1">
      <c r="A56" s="280">
        <v>32</v>
      </c>
      <c r="B56" s="302" t="s">
        <v>1064</v>
      </c>
      <c r="C56" s="288" t="s">
        <v>1058</v>
      </c>
      <c r="D56" s="282">
        <v>2019</v>
      </c>
      <c r="E56" s="299">
        <v>2500</v>
      </c>
      <c r="F56" s="300">
        <f>G56+H56</f>
        <v>1000</v>
      </c>
      <c r="G56" s="300">
        <v>1000</v>
      </c>
      <c r="H56" s="300"/>
      <c r="I56" s="300"/>
      <c r="J56" s="300"/>
      <c r="K56" s="519" t="s">
        <v>1244</v>
      </c>
      <c r="L56" s="520"/>
      <c r="M56" s="74"/>
    </row>
    <row r="57" spans="1:13" ht="15">
      <c r="A57" s="280"/>
      <c r="B57" s="165" t="s">
        <v>1037</v>
      </c>
      <c r="C57" s="288"/>
      <c r="D57" s="288"/>
      <c r="E57" s="303">
        <f aca="true" t="shared" si="5" ref="E57:J57">E55+E56</f>
        <v>6876.6</v>
      </c>
      <c r="F57" s="303">
        <f t="shared" si="5"/>
        <v>5376.6</v>
      </c>
      <c r="G57" s="303">
        <f t="shared" si="5"/>
        <v>5376.6</v>
      </c>
      <c r="H57" s="303">
        <f t="shared" si="5"/>
        <v>0</v>
      </c>
      <c r="I57" s="303">
        <f t="shared" si="5"/>
        <v>0</v>
      </c>
      <c r="J57" s="303">
        <f t="shared" si="5"/>
        <v>0</v>
      </c>
      <c r="K57" s="540"/>
      <c r="L57" s="541"/>
      <c r="M57" s="74"/>
    </row>
    <row r="58" spans="1:13" ht="15">
      <c r="A58" s="304"/>
      <c r="B58" s="305" t="s">
        <v>1038</v>
      </c>
      <c r="C58" s="306"/>
      <c r="D58" s="306"/>
      <c r="E58" s="307">
        <f aca="true" t="shared" si="6" ref="E58:J58">E57+E53+E36</f>
        <v>122560.7</v>
      </c>
      <c r="F58" s="303">
        <f t="shared" si="6"/>
        <v>107268.3</v>
      </c>
      <c r="G58" s="303">
        <f t="shared" si="6"/>
        <v>46268.3</v>
      </c>
      <c r="H58" s="303">
        <f t="shared" si="6"/>
        <v>61000</v>
      </c>
      <c r="I58" s="303">
        <f t="shared" si="6"/>
        <v>301260</v>
      </c>
      <c r="J58" s="303">
        <f t="shared" si="6"/>
        <v>563860</v>
      </c>
      <c r="K58" s="542"/>
      <c r="L58" s="543"/>
      <c r="M58" s="74"/>
    </row>
    <row r="59" spans="1:13" ht="18.75" customHeight="1">
      <c r="A59" s="513" t="s">
        <v>1065</v>
      </c>
      <c r="B59" s="514"/>
      <c r="C59" s="514"/>
      <c r="D59" s="514"/>
      <c r="E59" s="514"/>
      <c r="F59" s="514"/>
      <c r="G59" s="514"/>
      <c r="H59" s="514"/>
      <c r="I59" s="514"/>
      <c r="J59" s="514"/>
      <c r="K59" s="514"/>
      <c r="L59" s="515"/>
      <c r="M59" s="74"/>
    </row>
    <row r="60" spans="1:13" ht="15" customHeight="1">
      <c r="A60" s="529" t="s">
        <v>194</v>
      </c>
      <c r="B60" s="530"/>
      <c r="C60" s="530"/>
      <c r="D60" s="530"/>
      <c r="E60" s="530"/>
      <c r="F60" s="530"/>
      <c r="G60" s="530"/>
      <c r="H60" s="530"/>
      <c r="I60" s="530"/>
      <c r="J60" s="530"/>
      <c r="K60" s="530"/>
      <c r="L60" s="531"/>
      <c r="M60" s="74"/>
    </row>
    <row r="61" spans="1:13" ht="19.5" customHeight="1">
      <c r="A61" s="304">
        <v>33</v>
      </c>
      <c r="B61" s="301" t="s">
        <v>1066</v>
      </c>
      <c r="C61" s="288" t="s">
        <v>1067</v>
      </c>
      <c r="D61" s="282">
        <v>2019</v>
      </c>
      <c r="E61" s="299">
        <v>200</v>
      </c>
      <c r="F61" s="300">
        <f>G61+H61</f>
        <v>0</v>
      </c>
      <c r="G61" s="300"/>
      <c r="H61" s="300"/>
      <c r="I61" s="309"/>
      <c r="J61" s="309"/>
      <c r="K61" s="519" t="s">
        <v>1068</v>
      </c>
      <c r="L61" s="520"/>
      <c r="M61" s="74"/>
    </row>
    <row r="62" spans="1:13" ht="32.25" customHeight="1">
      <c r="A62" s="280">
        <v>34</v>
      </c>
      <c r="B62" s="302" t="s">
        <v>1069</v>
      </c>
      <c r="C62" s="288" t="s">
        <v>1058</v>
      </c>
      <c r="D62" s="282">
        <v>2019</v>
      </c>
      <c r="E62" s="299">
        <v>1900</v>
      </c>
      <c r="F62" s="300">
        <f aca="true" t="shared" si="7" ref="F62:F69">G62+H62</f>
        <v>0</v>
      </c>
      <c r="G62" s="300"/>
      <c r="H62" s="300"/>
      <c r="I62" s="309"/>
      <c r="J62" s="309"/>
      <c r="K62" s="519" t="s">
        <v>1070</v>
      </c>
      <c r="L62" s="520"/>
      <c r="M62" s="74"/>
    </row>
    <row r="63" spans="1:13" ht="54.75" customHeight="1">
      <c r="A63" s="280">
        <v>35</v>
      </c>
      <c r="B63" s="93" t="s">
        <v>1071</v>
      </c>
      <c r="C63" s="288" t="s">
        <v>1058</v>
      </c>
      <c r="D63" s="282">
        <v>2019</v>
      </c>
      <c r="E63" s="299">
        <v>3000</v>
      </c>
      <c r="F63" s="300">
        <f t="shared" si="7"/>
        <v>535</v>
      </c>
      <c r="G63" s="300">
        <v>535</v>
      </c>
      <c r="H63" s="300"/>
      <c r="I63" s="309"/>
      <c r="J63" s="309"/>
      <c r="K63" s="544" t="s">
        <v>1245</v>
      </c>
      <c r="L63" s="545"/>
      <c r="M63" s="74"/>
    </row>
    <row r="64" spans="1:13" ht="63.75" customHeight="1">
      <c r="A64" s="280">
        <v>36</v>
      </c>
      <c r="B64" s="301" t="s">
        <v>1072</v>
      </c>
      <c r="C64" s="288" t="s">
        <v>1058</v>
      </c>
      <c r="D64" s="282">
        <v>2019</v>
      </c>
      <c r="E64" s="299">
        <v>2328.2</v>
      </c>
      <c r="F64" s="300">
        <f t="shared" si="7"/>
        <v>1124.9</v>
      </c>
      <c r="G64" s="300">
        <v>1124.9</v>
      </c>
      <c r="H64" s="300"/>
      <c r="I64" s="309"/>
      <c r="J64" s="309"/>
      <c r="K64" s="519" t="s">
        <v>1246</v>
      </c>
      <c r="L64" s="520"/>
      <c r="M64" s="74"/>
    </row>
    <row r="65" spans="1:13" ht="88.5" customHeight="1">
      <c r="A65" s="280">
        <v>37</v>
      </c>
      <c r="B65" s="93" t="s">
        <v>1073</v>
      </c>
      <c r="C65" s="288" t="s">
        <v>1058</v>
      </c>
      <c r="D65" s="282">
        <v>2019</v>
      </c>
      <c r="E65" s="299">
        <v>7344.5</v>
      </c>
      <c r="F65" s="300">
        <f t="shared" si="7"/>
        <v>3149.6</v>
      </c>
      <c r="G65" s="300">
        <f>3064+85.6</f>
        <v>3149.6</v>
      </c>
      <c r="H65" s="300"/>
      <c r="I65" s="309"/>
      <c r="J65" s="309"/>
      <c r="K65" s="544" t="s">
        <v>1247</v>
      </c>
      <c r="L65" s="545"/>
      <c r="M65" s="74"/>
    </row>
    <row r="66" spans="1:13" ht="18" customHeight="1">
      <c r="A66" s="280">
        <v>38</v>
      </c>
      <c r="B66" s="93" t="s">
        <v>1074</v>
      </c>
      <c r="C66" s="288" t="s">
        <v>1058</v>
      </c>
      <c r="D66" s="282">
        <v>2019</v>
      </c>
      <c r="E66" s="299">
        <v>1050</v>
      </c>
      <c r="F66" s="300">
        <f t="shared" si="7"/>
        <v>135.4</v>
      </c>
      <c r="G66" s="300">
        <v>135.4</v>
      </c>
      <c r="H66" s="300"/>
      <c r="I66" s="309"/>
      <c r="J66" s="309"/>
      <c r="K66" s="544" t="s">
        <v>1248</v>
      </c>
      <c r="L66" s="545"/>
      <c r="M66" s="74"/>
    </row>
    <row r="67" spans="1:13" ht="15" customHeight="1">
      <c r="A67" s="532">
        <v>39</v>
      </c>
      <c r="B67" s="93" t="s">
        <v>1075</v>
      </c>
      <c r="C67" s="288" t="s">
        <v>1058</v>
      </c>
      <c r="D67" s="282">
        <v>2019</v>
      </c>
      <c r="E67" s="299">
        <f>E68+E69</f>
        <v>2000</v>
      </c>
      <c r="F67" s="300">
        <f t="shared" si="7"/>
        <v>2000</v>
      </c>
      <c r="G67" s="300">
        <f>G68+G69</f>
        <v>2000</v>
      </c>
      <c r="H67" s="300">
        <f>H68+H69</f>
        <v>0</v>
      </c>
      <c r="I67" s="309"/>
      <c r="J67" s="309"/>
      <c r="K67" s="519"/>
      <c r="L67" s="520"/>
      <c r="M67" s="74"/>
    </row>
    <row r="68" spans="1:13" ht="21" customHeight="1">
      <c r="A68" s="539"/>
      <c r="B68" s="310" t="s">
        <v>1076</v>
      </c>
      <c r="C68" s="288"/>
      <c r="D68" s="282"/>
      <c r="E68" s="419">
        <v>65</v>
      </c>
      <c r="F68" s="300">
        <f t="shared" si="7"/>
        <v>65</v>
      </c>
      <c r="G68" s="420">
        <v>65</v>
      </c>
      <c r="H68" s="420"/>
      <c r="I68" s="311"/>
      <c r="J68" s="311"/>
      <c r="K68" s="519" t="s">
        <v>1077</v>
      </c>
      <c r="L68" s="521"/>
      <c r="M68" s="74"/>
    </row>
    <row r="69" spans="1:13" ht="50.25" customHeight="1">
      <c r="A69" s="439"/>
      <c r="B69" s="310" t="s">
        <v>1078</v>
      </c>
      <c r="C69" s="288"/>
      <c r="D69" s="282"/>
      <c r="E69" s="419">
        <v>1935</v>
      </c>
      <c r="F69" s="300">
        <f t="shared" si="7"/>
        <v>1935</v>
      </c>
      <c r="G69" s="420">
        <f>935+1000</f>
        <v>1935</v>
      </c>
      <c r="H69" s="420"/>
      <c r="I69" s="311"/>
      <c r="J69" s="311"/>
      <c r="K69" s="519" t="s">
        <v>1224</v>
      </c>
      <c r="L69" s="521"/>
      <c r="M69" s="74"/>
    </row>
    <row r="70" spans="1:13" ht="15">
      <c r="A70" s="280"/>
      <c r="B70" s="93" t="s">
        <v>1079</v>
      </c>
      <c r="C70" s="288"/>
      <c r="D70" s="288"/>
      <c r="E70" s="312">
        <f aca="true" t="shared" si="8" ref="E70:J70">SUM(E61:E67)</f>
        <v>17822.7</v>
      </c>
      <c r="F70" s="312">
        <f t="shared" si="8"/>
        <v>6944.9</v>
      </c>
      <c r="G70" s="312">
        <f t="shared" si="8"/>
        <v>6944.9</v>
      </c>
      <c r="H70" s="312">
        <f t="shared" si="8"/>
        <v>0</v>
      </c>
      <c r="I70" s="312">
        <f t="shared" si="8"/>
        <v>0</v>
      </c>
      <c r="J70" s="312">
        <f t="shared" si="8"/>
        <v>0</v>
      </c>
      <c r="K70" s="555"/>
      <c r="L70" s="556"/>
      <c r="M70" s="74"/>
    </row>
    <row r="71" spans="1:13" ht="15">
      <c r="A71" s="280"/>
      <c r="B71" s="294" t="s">
        <v>1038</v>
      </c>
      <c r="C71" s="288"/>
      <c r="D71" s="288"/>
      <c r="E71" s="313">
        <f aca="true" t="shared" si="9" ref="E71:J71">E70</f>
        <v>17822.7</v>
      </c>
      <c r="F71" s="313">
        <f t="shared" si="9"/>
        <v>6944.9</v>
      </c>
      <c r="G71" s="313">
        <f t="shared" si="9"/>
        <v>6944.9</v>
      </c>
      <c r="H71" s="313">
        <f t="shared" si="9"/>
        <v>0</v>
      </c>
      <c r="I71" s="313">
        <f t="shared" si="9"/>
        <v>0</v>
      </c>
      <c r="J71" s="313">
        <f t="shared" si="9"/>
        <v>0</v>
      </c>
      <c r="K71" s="550"/>
      <c r="L71" s="551"/>
      <c r="M71" s="74"/>
    </row>
    <row r="72" spans="1:13" ht="18.75" customHeight="1">
      <c r="A72" s="508" t="s">
        <v>296</v>
      </c>
      <c r="B72" s="509"/>
      <c r="C72" s="509"/>
      <c r="D72" s="509"/>
      <c r="E72" s="509"/>
      <c r="F72" s="509"/>
      <c r="G72" s="509"/>
      <c r="H72" s="509"/>
      <c r="I72" s="509"/>
      <c r="J72" s="509"/>
      <c r="K72" s="509"/>
      <c r="L72" s="510"/>
      <c r="M72" s="74"/>
    </row>
    <row r="73" spans="1:13" ht="17.25" customHeight="1">
      <c r="A73" s="557" t="s">
        <v>925</v>
      </c>
      <c r="B73" s="558"/>
      <c r="C73" s="558"/>
      <c r="D73" s="558"/>
      <c r="E73" s="558"/>
      <c r="F73" s="558"/>
      <c r="G73" s="558"/>
      <c r="H73" s="558"/>
      <c r="I73" s="558"/>
      <c r="J73" s="558"/>
      <c r="K73" s="558"/>
      <c r="L73" s="559"/>
      <c r="M73" s="74"/>
    </row>
    <row r="74" spans="1:13" ht="55.5" customHeight="1">
      <c r="A74" s="280">
        <v>40</v>
      </c>
      <c r="B74" s="93" t="s">
        <v>1080</v>
      </c>
      <c r="C74" s="288" t="s">
        <v>1081</v>
      </c>
      <c r="D74" s="282" t="s">
        <v>1160</v>
      </c>
      <c r="E74" s="299">
        <v>149073.1</v>
      </c>
      <c r="F74" s="300">
        <f aca="true" t="shared" si="10" ref="F74:F80">G74+H74</f>
        <v>149073.1</v>
      </c>
      <c r="G74" s="300">
        <f>3936+2297.2</f>
        <v>6233.2</v>
      </c>
      <c r="H74" s="300">
        <f>100000+42839.9</f>
        <v>142839.9</v>
      </c>
      <c r="I74" s="300">
        <v>3000</v>
      </c>
      <c r="J74" s="391"/>
      <c r="K74" s="544" t="s">
        <v>1082</v>
      </c>
      <c r="L74" s="545"/>
      <c r="M74" s="74"/>
    </row>
    <row r="75" spans="1:13" ht="25.5" customHeight="1">
      <c r="A75" s="280">
        <v>41</v>
      </c>
      <c r="B75" s="93" t="s">
        <v>1194</v>
      </c>
      <c r="C75" s="288"/>
      <c r="D75" s="282">
        <v>2019</v>
      </c>
      <c r="E75" s="299">
        <v>77121.4</v>
      </c>
      <c r="F75" s="300">
        <f t="shared" si="10"/>
        <v>3790</v>
      </c>
      <c r="G75" s="300">
        <v>3790</v>
      </c>
      <c r="H75" s="300"/>
      <c r="I75" s="300"/>
      <c r="J75" s="300"/>
      <c r="K75" s="544" t="s">
        <v>1195</v>
      </c>
      <c r="L75" s="545"/>
      <c r="M75" s="74"/>
    </row>
    <row r="76" spans="1:13" ht="25.5" customHeight="1">
      <c r="A76" s="280">
        <v>42</v>
      </c>
      <c r="B76" s="93" t="s">
        <v>1197</v>
      </c>
      <c r="C76" s="288"/>
      <c r="D76" s="282">
        <v>2019</v>
      </c>
      <c r="E76" s="299">
        <v>90598.9</v>
      </c>
      <c r="F76" s="300">
        <f t="shared" si="10"/>
        <v>1722.6</v>
      </c>
      <c r="G76" s="300">
        <v>1722.6</v>
      </c>
      <c r="H76" s="300"/>
      <c r="I76" s="300"/>
      <c r="J76" s="300"/>
      <c r="K76" s="544" t="s">
        <v>1195</v>
      </c>
      <c r="L76" s="545"/>
      <c r="M76" s="74"/>
    </row>
    <row r="77" spans="1:13" ht="33.75" customHeight="1">
      <c r="A77" s="280">
        <v>43</v>
      </c>
      <c r="B77" s="93" t="s">
        <v>1196</v>
      </c>
      <c r="C77" s="288"/>
      <c r="D77" s="282">
        <v>2019</v>
      </c>
      <c r="E77" s="299">
        <v>261432.3</v>
      </c>
      <c r="F77" s="300">
        <f t="shared" si="10"/>
        <v>0</v>
      </c>
      <c r="G77" s="300"/>
      <c r="H77" s="300"/>
      <c r="I77" s="300"/>
      <c r="J77" s="300"/>
      <c r="K77" s="544" t="s">
        <v>1195</v>
      </c>
      <c r="L77" s="545"/>
      <c r="M77" s="74"/>
    </row>
    <row r="78" spans="1:13" ht="35.25" customHeight="1">
      <c r="A78" s="280">
        <v>44</v>
      </c>
      <c r="B78" s="93" t="s">
        <v>1198</v>
      </c>
      <c r="C78" s="288"/>
      <c r="D78" s="282">
        <v>2019</v>
      </c>
      <c r="E78" s="299">
        <v>335874</v>
      </c>
      <c r="F78" s="300">
        <f t="shared" si="10"/>
        <v>0</v>
      </c>
      <c r="G78" s="300"/>
      <c r="H78" s="300"/>
      <c r="I78" s="300"/>
      <c r="J78" s="300"/>
      <c r="K78" s="544" t="s">
        <v>1195</v>
      </c>
      <c r="L78" s="545"/>
      <c r="M78" s="74"/>
    </row>
    <row r="79" spans="1:13" ht="33.75" customHeight="1">
      <c r="A79" s="280">
        <v>45</v>
      </c>
      <c r="B79" s="93" t="s">
        <v>1199</v>
      </c>
      <c r="C79" s="288"/>
      <c r="D79" s="282">
        <v>2019</v>
      </c>
      <c r="E79" s="299">
        <v>17339.5</v>
      </c>
      <c r="F79" s="300">
        <f t="shared" si="10"/>
        <v>0</v>
      </c>
      <c r="G79" s="300"/>
      <c r="H79" s="300"/>
      <c r="I79" s="300"/>
      <c r="J79" s="300"/>
      <c r="K79" s="544" t="s">
        <v>1195</v>
      </c>
      <c r="L79" s="545"/>
      <c r="M79" s="74"/>
    </row>
    <row r="80" spans="1:13" ht="33.75" customHeight="1">
      <c r="A80" s="280">
        <v>46</v>
      </c>
      <c r="B80" s="93" t="s">
        <v>1179</v>
      </c>
      <c r="C80" s="288"/>
      <c r="D80" s="282">
        <v>2019</v>
      </c>
      <c r="E80" s="299">
        <v>24724.8</v>
      </c>
      <c r="F80" s="300">
        <f t="shared" si="10"/>
        <v>3800</v>
      </c>
      <c r="G80" s="300">
        <v>3800</v>
      </c>
      <c r="H80" s="300"/>
      <c r="I80" s="300"/>
      <c r="J80" s="300"/>
      <c r="K80" s="523" t="s">
        <v>1200</v>
      </c>
      <c r="L80" s="554"/>
      <c r="M80" s="74"/>
    </row>
    <row r="81" spans="1:13" ht="15">
      <c r="A81" s="280"/>
      <c r="B81" s="294" t="s">
        <v>1083</v>
      </c>
      <c r="C81" s="288"/>
      <c r="D81" s="288"/>
      <c r="E81" s="312">
        <f aca="true" t="shared" si="11" ref="E81:J81">SUM(E74:E80)</f>
        <v>956164</v>
      </c>
      <c r="F81" s="312">
        <f t="shared" si="11"/>
        <v>158385.7</v>
      </c>
      <c r="G81" s="312">
        <f t="shared" si="11"/>
        <v>15545.800000000001</v>
      </c>
      <c r="H81" s="312">
        <f t="shared" si="11"/>
        <v>142839.9</v>
      </c>
      <c r="I81" s="312">
        <f t="shared" si="11"/>
        <v>3000</v>
      </c>
      <c r="J81" s="312">
        <f t="shared" si="11"/>
        <v>0</v>
      </c>
      <c r="K81" s="550"/>
      <c r="L81" s="551"/>
      <c r="M81" s="74"/>
    </row>
    <row r="82" spans="1:13" s="314" customFormat="1" ht="18.75" customHeight="1">
      <c r="A82" s="552" t="s">
        <v>410</v>
      </c>
      <c r="B82" s="489"/>
      <c r="C82" s="489"/>
      <c r="D82" s="489"/>
      <c r="E82" s="489"/>
      <c r="F82" s="489"/>
      <c r="G82" s="489"/>
      <c r="H82" s="489"/>
      <c r="I82" s="489"/>
      <c r="J82" s="489"/>
      <c r="K82" s="489"/>
      <c r="L82" s="490"/>
      <c r="M82" s="70"/>
    </row>
    <row r="83" spans="1:13" s="169" customFormat="1" ht="30" customHeight="1" hidden="1">
      <c r="A83" s="280"/>
      <c r="B83" s="287" t="s">
        <v>457</v>
      </c>
      <c r="C83" s="295"/>
      <c r="D83" s="282">
        <v>2019</v>
      </c>
      <c r="E83" s="308"/>
      <c r="F83" s="308">
        <f>G83+H83</f>
        <v>0</v>
      </c>
      <c r="G83" s="308"/>
      <c r="H83" s="308"/>
      <c r="I83" s="309"/>
      <c r="J83" s="309"/>
      <c r="K83" s="546"/>
      <c r="L83" s="547"/>
      <c r="M83" s="173"/>
    </row>
    <row r="84" spans="1:13" s="169" customFormat="1" ht="30" customHeight="1" hidden="1">
      <c r="A84" s="280"/>
      <c r="B84" s="287" t="s">
        <v>1084</v>
      </c>
      <c r="C84" s="295"/>
      <c r="D84" s="282">
        <v>2019</v>
      </c>
      <c r="E84" s="308"/>
      <c r="F84" s="308">
        <f>G84+H84</f>
        <v>0</v>
      </c>
      <c r="G84" s="308"/>
      <c r="H84" s="308"/>
      <c r="I84" s="309"/>
      <c r="J84" s="309"/>
      <c r="K84" s="315"/>
      <c r="L84" s="411"/>
      <c r="M84" s="173"/>
    </row>
    <row r="85" spans="1:13" s="169" customFormat="1" ht="18.75" customHeight="1">
      <c r="A85" s="280">
        <v>47</v>
      </c>
      <c r="B85" s="287" t="s">
        <v>1158</v>
      </c>
      <c r="C85" s="295"/>
      <c r="D85" s="282">
        <v>2019</v>
      </c>
      <c r="E85" s="308">
        <v>2654</v>
      </c>
      <c r="F85" s="308">
        <f>G85+H85</f>
        <v>2654</v>
      </c>
      <c r="G85" s="308">
        <v>2654</v>
      </c>
      <c r="H85" s="308"/>
      <c r="I85" s="309"/>
      <c r="J85" s="309"/>
      <c r="K85" s="315" t="s">
        <v>1159</v>
      </c>
      <c r="L85" s="411"/>
      <c r="M85" s="173"/>
    </row>
    <row r="86" spans="1:13" s="169" customFormat="1" ht="14.25" customHeight="1">
      <c r="A86" s="70"/>
      <c r="B86" s="165" t="s">
        <v>1085</v>
      </c>
      <c r="C86" s="295"/>
      <c r="D86" s="295"/>
      <c r="E86" s="312">
        <f aca="true" t="shared" si="12" ref="E86:J86">E83+E84+E85</f>
        <v>2654</v>
      </c>
      <c r="F86" s="312">
        <f t="shared" si="12"/>
        <v>2654</v>
      </c>
      <c r="G86" s="312">
        <f t="shared" si="12"/>
        <v>2654</v>
      </c>
      <c r="H86" s="312">
        <f t="shared" si="12"/>
        <v>0</v>
      </c>
      <c r="I86" s="312">
        <f t="shared" si="12"/>
        <v>0</v>
      </c>
      <c r="J86" s="312">
        <f t="shared" si="12"/>
        <v>0</v>
      </c>
      <c r="K86" s="315"/>
      <c r="L86" s="411"/>
      <c r="M86" s="173"/>
    </row>
    <row r="87" spans="1:13" ht="15">
      <c r="A87" s="70"/>
      <c r="B87" s="316" t="s">
        <v>1086</v>
      </c>
      <c r="C87" s="70"/>
      <c r="D87" s="70"/>
      <c r="E87" s="23">
        <f aca="true" t="shared" si="13" ref="E87:J87">E81+E71+E58+E86+E17</f>
        <v>1105201.4</v>
      </c>
      <c r="F87" s="23">
        <f t="shared" si="13"/>
        <v>281252.9</v>
      </c>
      <c r="G87" s="23">
        <f t="shared" si="13"/>
        <v>77413</v>
      </c>
      <c r="H87" s="23">
        <f t="shared" si="13"/>
        <v>203839.9</v>
      </c>
      <c r="I87" s="23">
        <f t="shared" si="13"/>
        <v>317977.3</v>
      </c>
      <c r="J87" s="23">
        <f t="shared" si="13"/>
        <v>578153.5</v>
      </c>
      <c r="K87" s="548"/>
      <c r="L87" s="549"/>
      <c r="M87" s="74"/>
    </row>
  </sheetData>
  <sheetProtection/>
  <mergeCells count="79">
    <mergeCell ref="K29:L29"/>
    <mergeCell ref="K40:L40"/>
    <mergeCell ref="K47:L47"/>
    <mergeCell ref="K51:L51"/>
    <mergeCell ref="K76:L76"/>
    <mergeCell ref="K80:L80"/>
    <mergeCell ref="K70:L70"/>
    <mergeCell ref="K71:L71"/>
    <mergeCell ref="A72:L72"/>
    <mergeCell ref="A73:L73"/>
    <mergeCell ref="K83:L83"/>
    <mergeCell ref="K87:L87"/>
    <mergeCell ref="K77:L77"/>
    <mergeCell ref="K78:L78"/>
    <mergeCell ref="K79:L79"/>
    <mergeCell ref="K81:L81"/>
    <mergeCell ref="A82:L82"/>
    <mergeCell ref="K74:L74"/>
    <mergeCell ref="K75:L75"/>
    <mergeCell ref="K63:L63"/>
    <mergeCell ref="K64:L64"/>
    <mergeCell ref="K65:L65"/>
    <mergeCell ref="K66:L66"/>
    <mergeCell ref="A67:A69"/>
    <mergeCell ref="K67:L67"/>
    <mergeCell ref="K69:L69"/>
    <mergeCell ref="K68:L68"/>
    <mergeCell ref="K57:L57"/>
    <mergeCell ref="K58:L58"/>
    <mergeCell ref="A59:L59"/>
    <mergeCell ref="A60:L60"/>
    <mergeCell ref="K61:L61"/>
    <mergeCell ref="K62:L62"/>
    <mergeCell ref="K49:L49"/>
    <mergeCell ref="K52:L52"/>
    <mergeCell ref="K53:L53"/>
    <mergeCell ref="A54:L54"/>
    <mergeCell ref="K55:L55"/>
    <mergeCell ref="K56:L56"/>
    <mergeCell ref="K50:L50"/>
    <mergeCell ref="A41:A42"/>
    <mergeCell ref="B41:B42"/>
    <mergeCell ref="K41:L41"/>
    <mergeCell ref="K42:L42"/>
    <mergeCell ref="K43:L43"/>
    <mergeCell ref="K48:L48"/>
    <mergeCell ref="K45:L45"/>
    <mergeCell ref="K46:L46"/>
    <mergeCell ref="K35:L35"/>
    <mergeCell ref="K36:L36"/>
    <mergeCell ref="A37:L37"/>
    <mergeCell ref="A38:A39"/>
    <mergeCell ref="B38:B39"/>
    <mergeCell ref="K38:L38"/>
    <mergeCell ref="K20:L20"/>
    <mergeCell ref="K21:L21"/>
    <mergeCell ref="K23:L23"/>
    <mergeCell ref="K26:L26"/>
    <mergeCell ref="K30:L30"/>
    <mergeCell ref="K33:L33"/>
    <mergeCell ref="K27:L27"/>
    <mergeCell ref="K22:L22"/>
    <mergeCell ref="K24:L24"/>
    <mergeCell ref="K25:L25"/>
    <mergeCell ref="M11:M12"/>
    <mergeCell ref="A13:L13"/>
    <mergeCell ref="B14:L14"/>
    <mergeCell ref="K15:L15"/>
    <mergeCell ref="A18:L18"/>
    <mergeCell ref="A19:L19"/>
    <mergeCell ref="A8:L8"/>
    <mergeCell ref="A11:A12"/>
    <mergeCell ref="B11:B12"/>
    <mergeCell ref="C11:C12"/>
    <mergeCell ref="D11:D12"/>
    <mergeCell ref="E11:E12"/>
    <mergeCell ref="F11:F12"/>
    <mergeCell ref="G11:H11"/>
    <mergeCell ref="K11:L12"/>
  </mergeCells>
  <printOptions/>
  <pageMargins left="0" right="0" top="0.7480314960629921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2019-06-21T12:05:13Z</dcterms:modified>
  <cp:category/>
  <cp:version/>
  <cp:contentType/>
  <cp:contentStatus/>
</cp:coreProperties>
</file>